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seni\Downloads\"/>
    </mc:Choice>
  </mc:AlternateContent>
  <xr:revisionPtr revIDLastSave="0" documentId="13_ncr:1_{656B2EB3-E338-453D-8D68-820D28186FFF}" xr6:coauthVersionLast="47" xr6:coauthVersionMax="47" xr10:uidLastSave="{00000000-0000-0000-0000-000000000000}"/>
  <bookViews>
    <workbookView xWindow="-120" yWindow="-120" windowWidth="29040" windowHeight="15840" tabRatio="913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7" l="1"/>
  <c r="F12" i="7"/>
  <c r="F13" i="7"/>
  <c r="E13" i="7"/>
  <c r="E14" i="7"/>
  <c r="E15" i="7"/>
  <c r="E16" i="7"/>
  <c r="E12" i="7"/>
  <c r="D12" i="7"/>
  <c r="D16" i="7"/>
  <c r="D15" i="7"/>
  <c r="D14" i="7"/>
  <c r="D13" i="7"/>
  <c r="C13" i="8"/>
  <c r="F13" i="8"/>
  <c r="E13" i="8"/>
  <c r="D13" i="8"/>
  <c r="E18" i="8"/>
  <c r="C15" i="8"/>
  <c r="D15" i="8"/>
  <c r="D18" i="8"/>
  <c r="E9" i="7"/>
  <c r="D9" i="7"/>
  <c r="E10" i="7"/>
  <c r="D10" i="7"/>
  <c r="E8" i="11"/>
  <c r="D8" i="11"/>
  <c r="F8" i="11"/>
  <c r="C8" i="11"/>
  <c r="F7" i="8"/>
  <c r="F8" i="8"/>
  <c r="G24" i="3"/>
  <c r="J24" i="3"/>
  <c r="J23" i="3"/>
  <c r="C14" i="8"/>
  <c r="C10" i="8"/>
  <c r="C6" i="8"/>
  <c r="G68" i="3"/>
  <c r="G65" i="3"/>
  <c r="G64" i="3"/>
  <c r="G63" i="3"/>
  <c r="G60" i="3"/>
  <c r="G59" i="3"/>
  <c r="G57" i="3"/>
  <c r="G54" i="3"/>
  <c r="G44" i="3"/>
  <c r="G40" i="3"/>
  <c r="G37" i="3"/>
  <c r="G35" i="3"/>
  <c r="G34" i="3"/>
  <c r="G29" i="3"/>
  <c r="G27" i="3"/>
  <c r="G23" i="3"/>
  <c r="G22" i="3"/>
  <c r="G21" i="3"/>
  <c r="G17" i="3" s="1"/>
  <c r="I60" i="3"/>
  <c r="I59" i="3" s="1"/>
  <c r="I65" i="3"/>
  <c r="I68" i="3"/>
  <c r="I57" i="3"/>
  <c r="I30" i="3"/>
  <c r="I31" i="3"/>
  <c r="I29" i="3" s="1"/>
  <c r="I28" i="3"/>
  <c r="I25" i="3"/>
  <c r="I26" i="3"/>
  <c r="H30" i="3"/>
  <c r="H26" i="3"/>
  <c r="K25" i="3"/>
  <c r="H25" i="3"/>
  <c r="K24" i="3"/>
  <c r="I32" i="3"/>
  <c r="H32" i="3"/>
  <c r="H28" i="3"/>
  <c r="H31" i="3"/>
  <c r="D24" i="7"/>
  <c r="D23" i="7"/>
  <c r="H9" i="8"/>
  <c r="H12" i="8"/>
  <c r="H13" i="8"/>
  <c r="H16" i="8"/>
  <c r="H18" i="8"/>
  <c r="G7" i="8"/>
  <c r="G8" i="8"/>
  <c r="G9" i="8"/>
  <c r="G10" i="8"/>
  <c r="G11" i="8"/>
  <c r="G12" i="8"/>
  <c r="G13" i="8"/>
  <c r="G16" i="8"/>
  <c r="G18" i="8"/>
  <c r="L17" i="3"/>
  <c r="K14" i="3"/>
  <c r="K17" i="3"/>
  <c r="L21" i="1"/>
  <c r="L22" i="1"/>
  <c r="L23" i="1"/>
  <c r="L24" i="1"/>
  <c r="L25" i="1"/>
  <c r="K22" i="1"/>
  <c r="K23" i="1"/>
  <c r="K24" i="1"/>
  <c r="K25" i="1"/>
  <c r="K21" i="1"/>
  <c r="H57" i="3"/>
  <c r="D22" i="7" s="1"/>
  <c r="J57" i="3"/>
  <c r="F22" i="7" s="1"/>
  <c r="L42" i="3"/>
  <c r="K42" i="3"/>
  <c r="L16" i="1"/>
  <c r="K15" i="1"/>
  <c r="D7" i="11"/>
  <c r="E7" i="11"/>
  <c r="F7" i="11"/>
  <c r="H7" i="11" s="1"/>
  <c r="C7" i="11"/>
  <c r="H60" i="3"/>
  <c r="H59" i="3" s="1"/>
  <c r="E24" i="7"/>
  <c r="J60" i="3"/>
  <c r="F24" i="7" s="1"/>
  <c r="F23" i="7" s="1"/>
  <c r="F10" i="8"/>
  <c r="K48" i="3"/>
  <c r="K62" i="3"/>
  <c r="H65" i="3"/>
  <c r="D26" i="7" s="1"/>
  <c r="J65" i="3"/>
  <c r="F26" i="7" s="1"/>
  <c r="H68" i="3"/>
  <c r="D27" i="7" s="1"/>
  <c r="J68" i="3"/>
  <c r="F27" i="7" s="1"/>
  <c r="K68" i="3"/>
  <c r="L67" i="3"/>
  <c r="K67" i="3"/>
  <c r="I13" i="1"/>
  <c r="I16" i="1" s="1"/>
  <c r="L14" i="1"/>
  <c r="L15" i="1"/>
  <c r="K14" i="1"/>
  <c r="L11" i="1"/>
  <c r="H10" i="1"/>
  <c r="I10" i="1"/>
  <c r="J10" i="1"/>
  <c r="L10" i="1" s="1"/>
  <c r="G10" i="1"/>
  <c r="J13" i="1"/>
  <c r="G13" i="1"/>
  <c r="H13" i="1"/>
  <c r="H16" i="1" s="1"/>
  <c r="K11" i="1"/>
  <c r="H8" i="11"/>
  <c r="G8" i="11"/>
  <c r="F6" i="8"/>
  <c r="K69" i="3"/>
  <c r="K26" i="3"/>
  <c r="K28" i="3"/>
  <c r="K31" i="3"/>
  <c r="K36" i="3"/>
  <c r="K37" i="3"/>
  <c r="K39" i="3"/>
  <c r="K41" i="3"/>
  <c r="K43" i="3"/>
  <c r="K45" i="3"/>
  <c r="K46" i="3"/>
  <c r="K47" i="3"/>
  <c r="K49" i="3"/>
  <c r="K50" i="3"/>
  <c r="K51" i="3"/>
  <c r="K52" i="3"/>
  <c r="K55" i="3"/>
  <c r="K56" i="3"/>
  <c r="K58" i="3"/>
  <c r="K61" i="3"/>
  <c r="K66" i="3"/>
  <c r="L31" i="3"/>
  <c r="L37" i="3"/>
  <c r="L49" i="3"/>
  <c r="L50" i="3"/>
  <c r="L52" i="3"/>
  <c r="L56" i="3"/>
  <c r="L62" i="3"/>
  <c r="J54" i="3"/>
  <c r="F21" i="7" s="1"/>
  <c r="J35" i="3"/>
  <c r="J27" i="3"/>
  <c r="F14" i="7" s="1"/>
  <c r="J29" i="3"/>
  <c r="F15" i="7" s="1"/>
  <c r="K57" i="3"/>
  <c r="J44" i="3"/>
  <c r="F20" i="7" s="1"/>
  <c r="J40" i="3"/>
  <c r="F19" i="7" s="1"/>
  <c r="G16" i="3"/>
  <c r="G10" i="3"/>
  <c r="G13" i="3"/>
  <c r="J16" i="3"/>
  <c r="J15" i="3" s="1"/>
  <c r="J10" i="3"/>
  <c r="J13" i="3"/>
  <c r="J12" i="3" s="1"/>
  <c r="L25" i="3" l="1"/>
  <c r="H24" i="3"/>
  <c r="I24" i="3"/>
  <c r="I64" i="3"/>
  <c r="I63" i="3" s="1"/>
  <c r="H29" i="3"/>
  <c r="G12" i="3"/>
  <c r="K12" i="3" s="1"/>
  <c r="K13" i="3"/>
  <c r="K10" i="3"/>
  <c r="J34" i="3"/>
  <c r="J22" i="3" s="1"/>
  <c r="J21" i="3" s="1"/>
  <c r="F15" i="8" s="1"/>
  <c r="G15" i="8" s="1"/>
  <c r="F18" i="7"/>
  <c r="D25" i="7"/>
  <c r="G15" i="3"/>
  <c r="K15" i="3" s="1"/>
  <c r="K16" i="3"/>
  <c r="G7" i="11"/>
  <c r="G6" i="8"/>
  <c r="J59" i="3"/>
  <c r="L68" i="3"/>
  <c r="J64" i="3"/>
  <c r="J63" i="3" s="1"/>
  <c r="F25" i="7"/>
  <c r="G15" i="7"/>
  <c r="H64" i="3"/>
  <c r="E23" i="7"/>
  <c r="G23" i="7" s="1"/>
  <c r="G24" i="7"/>
  <c r="E27" i="7"/>
  <c r="F17" i="7"/>
  <c r="K13" i="1"/>
  <c r="G16" i="1"/>
  <c r="J16" i="1"/>
  <c r="K16" i="1" s="1"/>
  <c r="K10" i="1"/>
  <c r="F9" i="7"/>
  <c r="G27" i="7"/>
  <c r="K53" i="3"/>
  <c r="K29" i="3"/>
  <c r="K54" i="3"/>
  <c r="K60" i="3"/>
  <c r="K44" i="3"/>
  <c r="K59" i="3"/>
  <c r="K35" i="3"/>
  <c r="L29" i="3"/>
  <c r="K27" i="3"/>
  <c r="L13" i="1"/>
  <c r="K40" i="3"/>
  <c r="G11" i="3"/>
  <c r="J11" i="3"/>
  <c r="L24" i="3" l="1"/>
  <c r="K11" i="3"/>
  <c r="F14" i="8"/>
  <c r="F8" i="7"/>
  <c r="K23" i="3"/>
  <c r="K65" i="3"/>
  <c r="K34" i="3"/>
  <c r="L69" i="3"/>
  <c r="L51" i="3"/>
  <c r="L48" i="3"/>
  <c r="L47" i="3"/>
  <c r="H27" i="3"/>
  <c r="L26" i="3"/>
  <c r="N66" i="3"/>
  <c r="N53" i="3"/>
  <c r="L53" i="3" s="1"/>
  <c r="N46" i="3"/>
  <c r="L46" i="3" s="1"/>
  <c r="N41" i="3"/>
  <c r="N43" i="3"/>
  <c r="L43" i="3" s="1"/>
  <c r="H16" i="3"/>
  <c r="H15" i="3" s="1"/>
  <c r="H23" i="3" l="1"/>
  <c r="G14" i="8"/>
  <c r="I27" i="3"/>
  <c r="I23" i="3" s="1"/>
  <c r="K22" i="3"/>
  <c r="F17" i="8"/>
  <c r="K64" i="3"/>
  <c r="H54" i="3"/>
  <c r="H35" i="3"/>
  <c r="D18" i="7" s="1"/>
  <c r="L28" i="3"/>
  <c r="H44" i="3"/>
  <c r="D20" i="7" s="1"/>
  <c r="L41" i="3"/>
  <c r="H40" i="3"/>
  <c r="D19" i="7" s="1"/>
  <c r="L39" i="3"/>
  <c r="L45" i="3"/>
  <c r="L36" i="3"/>
  <c r="I16" i="3"/>
  <c r="L16" i="3" s="1"/>
  <c r="K63" i="3" l="1"/>
  <c r="D21" i="7"/>
  <c r="D17" i="7" s="1"/>
  <c r="H34" i="3"/>
  <c r="H22" i="3" s="1"/>
  <c r="L58" i="3"/>
  <c r="E22" i="7"/>
  <c r="G22" i="7" s="1"/>
  <c r="I40" i="3"/>
  <c r="E19" i="7" s="1"/>
  <c r="L57" i="3"/>
  <c r="L27" i="3"/>
  <c r="G14" i="7"/>
  <c r="I44" i="3"/>
  <c r="E20" i="7" s="1"/>
  <c r="L66" i="3"/>
  <c r="L65" i="3"/>
  <c r="I35" i="3"/>
  <c r="E18" i="7" s="1"/>
  <c r="I54" i="3"/>
  <c r="L55" i="3"/>
  <c r="L61" i="3"/>
  <c r="I15" i="3"/>
  <c r="L15" i="3" s="1"/>
  <c r="E21" i="7" l="1"/>
  <c r="I34" i="3"/>
  <c r="I22" i="3" s="1"/>
  <c r="I21" i="3" s="1"/>
  <c r="I14" i="3" s="1"/>
  <c r="D11" i="7"/>
  <c r="D8" i="7"/>
  <c r="L44" i="3"/>
  <c r="G20" i="7"/>
  <c r="L54" i="3"/>
  <c r="G21" i="7"/>
  <c r="G18" i="7"/>
  <c r="G13" i="7"/>
  <c r="E26" i="7"/>
  <c r="C17" i="8"/>
  <c r="G17" i="8" s="1"/>
  <c r="K21" i="3"/>
  <c r="L40" i="3"/>
  <c r="G19" i="7"/>
  <c r="L60" i="3"/>
  <c r="L59" i="3"/>
  <c r="L35" i="3"/>
  <c r="L34" i="3"/>
  <c r="D14" i="8"/>
  <c r="E15" i="8"/>
  <c r="H15" i="8" s="1"/>
  <c r="H63" i="3"/>
  <c r="L64" i="3"/>
  <c r="L23" i="3"/>
  <c r="L14" i="3" l="1"/>
  <c r="I10" i="3"/>
  <c r="I13" i="3"/>
  <c r="H21" i="3"/>
  <c r="H14" i="3" s="1"/>
  <c r="G12" i="7"/>
  <c r="E25" i="7"/>
  <c r="G25" i="7" s="1"/>
  <c r="G26" i="7"/>
  <c r="E17" i="7"/>
  <c r="D17" i="8"/>
  <c r="E14" i="8"/>
  <c r="H14" i="8" s="1"/>
  <c r="L63" i="3"/>
  <c r="H10" i="3" l="1"/>
  <c r="H13" i="3"/>
  <c r="L13" i="3"/>
  <c r="E11" i="8"/>
  <c r="I12" i="3"/>
  <c r="L10" i="3"/>
  <c r="G17" i="7"/>
  <c r="G9" i="7"/>
  <c r="E11" i="7"/>
  <c r="L21" i="3"/>
  <c r="E17" i="8"/>
  <c r="H17" i="8" s="1"/>
  <c r="L22" i="3"/>
  <c r="L12" i="3" l="1"/>
  <c r="I11" i="3"/>
  <c r="L11" i="3" s="1"/>
  <c r="H11" i="8"/>
  <c r="E10" i="8"/>
  <c r="H12" i="3"/>
  <c r="H11" i="3" s="1"/>
  <c r="D11" i="8"/>
  <c r="D10" i="8" s="1"/>
  <c r="D8" i="8"/>
  <c r="D7" i="8" s="1"/>
  <c r="D6" i="8" s="1"/>
  <c r="G11" i="7"/>
  <c r="H10" i="8" l="1"/>
  <c r="E8" i="8"/>
  <c r="E8" i="7"/>
  <c r="G8" i="7" s="1"/>
  <c r="G10" i="7"/>
  <c r="H8" i="8" l="1"/>
  <c r="E7" i="8"/>
  <c r="H7" i="8" l="1"/>
  <c r="E6" i="8"/>
  <c r="H6" i="8" s="1"/>
</calcChain>
</file>

<file path=xl/sharedStrings.xml><?xml version="1.0" encoding="utf-8"?>
<sst xmlns="http://schemas.openxmlformats.org/spreadsheetml/2006/main" count="230" uniqueCount="142">
  <si>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</si>
  <si>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</si>
  <si>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</si>
  <si>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</si>
  <si>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</si>
  <si>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</si>
  <si>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</si>
  <si>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</si>
  <si>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</si>
  <si>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</si>
  <si>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</si>
  <si>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</si>
  <si>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</si>
  <si>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</si>
  <si>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</si>
  <si>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</si>
  <si>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</si>
  <si>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</si>
  <si>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</si>
  <si>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</si>
  <si>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</si>
  <si>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</si>
  <si>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</si>
  <si>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Prihodi od prodaje proizvoda i robe te pruženih usluga</t>
  </si>
  <si>
    <t>….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</si>
  <si>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</si>
  <si>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</si>
  <si>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</si>
  <si>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</si>
  <si>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</si>
  <si>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</si>
  <si>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</si>
  <si>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</si>
  <si>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</si>
  <si>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</si>
  <si>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</si>
  <si>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</si>
  <si>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</si>
  <si>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</si>
  <si>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</si>
  <si>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</si>
  <si>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</si>
  <si>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</si>
  <si>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</si>
  <si>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</si>
  <si>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</si>
  <si>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</si>
  <si>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</si>
  <si>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</si>
  <si>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</si>
  <si>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</si>
  <si>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</si>
  <si>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</si>
  <si>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</si>
  <si>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</si>
  <si>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</si>
  <si>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</si>
  <si>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</si>
  <si>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</si>
  <si>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</si>
  <si>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</si>
  <si>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</si>
  <si>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</si>
  <si>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</si>
  <si>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</si>
  <si>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 xml:space="preserve">IZVRŠENJE 
1.-6.2023. </t>
  </si>
  <si>
    <t>IZVJEŠTAJ PO PROGRAMSKOJ KLASIFIKACIJI</t>
  </si>
  <si>
    <t xml:space="preserve"> IZVRŠENJE 
1.-6.2023. </t>
  </si>
  <si>
    <t>SAŽETAK  RAČUNA PRIHODA I RASHODA I  RAČUNA FINANCIRANJA  može sadržavati i dodatne podatke.</t>
  </si>
  <si>
    <t>Ostali rashodi za zaposlene</t>
  </si>
  <si>
    <t>Naknade troškova osobama izvan radnog odnosa</t>
  </si>
  <si>
    <t>Usluge telefona, pošte i prijevoza</t>
  </si>
  <si>
    <t>Usluge tekućeg i investicijskog održavanja</t>
  </si>
  <si>
    <t>Usluge promidžbe i informiranja</t>
  </si>
  <si>
    <t>Ostale usluge</t>
  </si>
  <si>
    <t>Komunalne usluge</t>
  </si>
  <si>
    <t>Bankarske usluge i usluge platnog prometa</t>
  </si>
  <si>
    <t>Prihodi od pruženih usluga</t>
  </si>
  <si>
    <t xml:space="preserve"> Prihodi od prodaje proizvoda i robe te pruženih usluga, prihodi od donacija te povrati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</si>
  <si>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</si>
  <si>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</si>
  <si>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</si>
  <si>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Stručno usavršavanje zaposlenika</t>
  </si>
  <si>
    <t>Rashodi za materijal i energiju</t>
  </si>
  <si>
    <t>Uredski materijal i ostali materijalni rashodi</t>
  </si>
  <si>
    <t>Energija</t>
  </si>
  <si>
    <t>Rashodi za usluge</t>
  </si>
  <si>
    <t>Intelektualne i osobne usluge</t>
  </si>
  <si>
    <t>Ostali nespomenuti rashodi poslovanja</t>
  </si>
  <si>
    <t>Financijski rashodi</t>
  </si>
  <si>
    <t>Ostali financijski rashodi</t>
  </si>
  <si>
    <t>Rashodi za nabavu proizvedene dugotrajne imovine</t>
  </si>
  <si>
    <t>Postrojenja i oprema</t>
  </si>
  <si>
    <t>Uređaji, strojevi i oprema za ostale namjene</t>
  </si>
  <si>
    <t>Naknada za prijevoz</t>
  </si>
  <si>
    <t>Zakupnine i najamnine</t>
  </si>
  <si>
    <t>Računalne usluge</t>
  </si>
  <si>
    <t>Zatezne kamate</t>
  </si>
  <si>
    <t>5 Pomoći</t>
  </si>
  <si>
    <t>52 Ostale pomoći i darovnice</t>
  </si>
  <si>
    <t>R.01.001</t>
  </si>
  <si>
    <t>TEKUĆI PROGRAMI</t>
  </si>
  <si>
    <t>NADREĐENI PRORAČUN</t>
  </si>
  <si>
    <t>VLASTITI PRIHODI</t>
  </si>
  <si>
    <t>R.01</t>
  </si>
  <si>
    <t>RASHODI ZA ZAPOSLENE</t>
  </si>
  <si>
    <t>BRUTO PLAĆE</t>
  </si>
  <si>
    <t>OSTALI RASHODI ZA ZAPOSLENE</t>
  </si>
  <si>
    <t>DOPRINOSI NA PLAĆE</t>
  </si>
  <si>
    <t>MATERIJANI RASHODI</t>
  </si>
  <si>
    <t>NAKNADE TROŠKOVA OSOBAMA IZVAN RADNOG ODNOSA</t>
  </si>
  <si>
    <t>RASHODI ZA MATERIJAL I ENERGIJU</t>
  </si>
  <si>
    <t>RASHODI ZA USLUGE</t>
  </si>
  <si>
    <t>OSTALI NESPOMENUTI RASHODI POSLOVANJA</t>
  </si>
  <si>
    <t>NAKNADE TROŠKOVA ZAPOSLENIMA</t>
  </si>
  <si>
    <t xml:space="preserve">IZVORNI PLAN </t>
  </si>
  <si>
    <t>IZVORNI PLAN</t>
  </si>
  <si>
    <t>TEKUĆI PLAN 2023.</t>
  </si>
  <si>
    <t>Sitan inventar</t>
  </si>
  <si>
    <t>Reprezentacija</t>
  </si>
  <si>
    <t>Ostali rashodi poslovanja</t>
  </si>
  <si>
    <t>Ulaganja u računalnu opremu</t>
  </si>
  <si>
    <t>Nematerijalna proizvedena imovina</t>
  </si>
  <si>
    <t>Namještaj</t>
  </si>
  <si>
    <t>OTOČKA RAZVOJNA AGENCIJA</t>
  </si>
  <si>
    <t>Nematerijalna imovina</t>
  </si>
  <si>
    <t xml:space="preserve">IZVJEŠTAJ O IZVRŠENJU FINANCIJSKOG PLANA OTOČKE RAZVOJNE AGENCIJE  ZA PRVO POLUGODIŠTE 2024. </t>
  </si>
  <si>
    <t>TEKUĆI PLAN 2024.</t>
  </si>
  <si>
    <t xml:space="preserve">OSTVARENJE/IZVRŠENJE 
1.-6.2024. </t>
  </si>
  <si>
    <t>Doprinosi za obavezno zdravstveno osiguranje</t>
  </si>
  <si>
    <t>Doprinosi za MIO</t>
  </si>
  <si>
    <t>Doprinosi iz i na plaće</t>
  </si>
  <si>
    <t>Ostali rashodi za zaposlene (prehrana i nagrade)</t>
  </si>
  <si>
    <t>Ostali nenavedeni rashodi za zaposlene (Božićnica ..)</t>
  </si>
  <si>
    <t>Plaće</t>
  </si>
  <si>
    <t>Porez na dohodak</t>
  </si>
  <si>
    <t>Ostale naknade troškova zaposlenima</t>
  </si>
  <si>
    <t>Zdravstvene usluge (DZO)</t>
  </si>
  <si>
    <t xml:space="preserve">IZVRŠENJE 
1.-6.2024. </t>
  </si>
  <si>
    <t>OSTALI NESPOMENUTI RASHODI ZA ZAPOSLENE</t>
  </si>
  <si>
    <t xml:space="preserve">OSTVARENJE/ IZVRŠENJE 
1.-6.2024. </t>
  </si>
  <si>
    <t xml:space="preserve">OSTVARENJE/IZVRŠENJE  1.-6.2024.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</si>
</sst>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31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top" wrapTex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164" fontId="0" fillId="0" borderId="3" xfId="1" applyNumberFormat="1" applyFont="1" applyBorder="1"/>
    <xf numFmtId="164" fontId="13" fillId="0" borderId="3" xfId="1" applyNumberFormat="1" applyFont="1" applyBorder="1"/>
    <xf numFmtId="0" fontId="13" fillId="0" borderId="0" xfId="0" applyFont="1"/>
    <xf numFmtId="0" fontId="20" fillId="0" borderId="0" xfId="0" applyFont="1"/>
    <xf numFmtId="164" fontId="20" fillId="0" borderId="3" xfId="1" applyNumberFormat="1" applyFont="1" applyBorder="1"/>
    <xf numFmtId="0" fontId="20" fillId="0" borderId="0" xfId="0" applyFont="1" applyAlignment="1">
      <alignment horizontal="right"/>
    </xf>
    <xf numFmtId="0" fontId="20" fillId="0" borderId="3" xfId="0" applyFont="1" applyBorder="1"/>
    <xf numFmtId="164" fontId="0" fillId="0" borderId="3" xfId="1" applyNumberFormat="1" applyFont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1" fillId="3" borderId="4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164" fontId="21" fillId="2" borderId="3" xfId="1" applyNumberFormat="1" applyFont="1" applyFill="1" applyBorder="1" applyAlignment="1">
      <alignment horizontal="right" vertical="center"/>
    </xf>
    <xf numFmtId="0" fontId="24" fillId="2" borderId="3" xfId="0" applyFont="1" applyFill="1" applyBorder="1" applyAlignment="1">
      <alignment horizontal="left" vertical="center" wrapText="1"/>
    </xf>
    <xf numFmtId="164" fontId="24" fillId="2" borderId="3" xfId="1" applyNumberFormat="1" applyFont="1" applyFill="1" applyBorder="1" applyAlignment="1">
      <alignment horizontal="right" vertical="center"/>
    </xf>
    <xf numFmtId="0" fontId="26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 wrapText="1"/>
    </xf>
    <xf numFmtId="3" fontId="24" fillId="2" borderId="3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 wrapText="1"/>
    </xf>
    <xf numFmtId="0" fontId="28" fillId="2" borderId="3" xfId="0" quotePrefix="1" applyFont="1" applyFill="1" applyBorder="1" applyAlignment="1">
      <alignment horizontal="left" vertical="center" wrapText="1" indent="1"/>
    </xf>
    <xf numFmtId="0" fontId="28" fillId="2" borderId="3" xfId="0" applyFont="1" applyFill="1" applyBorder="1" applyAlignment="1">
      <alignment horizontal="left" vertical="center" indent="1"/>
    </xf>
    <xf numFmtId="0" fontId="28" fillId="2" borderId="3" xfId="0" applyFont="1" applyFill="1" applyBorder="1" applyAlignment="1">
      <alignment horizontal="left" vertical="center" wrapText="1" inden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3" xfId="0" quotePrefix="1" applyFont="1" applyFill="1" applyBorder="1" applyAlignment="1">
      <alignment horizontal="left" vertical="center" wrapText="1"/>
    </xf>
    <xf numFmtId="0" fontId="28" fillId="2" borderId="3" xfId="0" quotePrefix="1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3" fontId="21" fillId="2" borderId="3" xfId="0" applyNumberFormat="1" applyFont="1" applyFill="1" applyBorder="1" applyAlignment="1">
      <alignment horizontal="right"/>
    </xf>
    <xf numFmtId="0" fontId="21" fillId="3" borderId="3" xfId="0" applyFont="1" applyFill="1" applyBorder="1" applyAlignment="1">
      <alignment horizontal="right" vertical="center" wrapText="1"/>
    </xf>
    <xf numFmtId="0" fontId="31" fillId="2" borderId="3" xfId="0" quotePrefix="1" applyFont="1" applyFill="1" applyBorder="1" applyAlignment="1">
      <alignment horizontal="left" vertical="center"/>
    </xf>
    <xf numFmtId="0" fontId="29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23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3" fontId="21" fillId="2" borderId="3" xfId="1" applyFont="1" applyFill="1" applyBorder="1" applyAlignment="1">
      <alignment horizontal="right"/>
    </xf>
    <xf numFmtId="43" fontId="24" fillId="2" borderId="3" xfId="1" applyFont="1" applyFill="1" applyBorder="1" applyAlignment="1">
      <alignment horizontal="right"/>
    </xf>
    <xf numFmtId="43" fontId="20" fillId="0" borderId="3" xfId="1" applyFont="1" applyBorder="1"/>
    <xf numFmtId="43" fontId="20" fillId="0" borderId="0" xfId="1" applyFont="1"/>
    <xf numFmtId="43" fontId="13" fillId="0" borderId="3" xfId="1" applyFont="1" applyBorder="1"/>
    <xf numFmtId="43" fontId="20" fillId="0" borderId="3" xfId="1" applyFont="1" applyBorder="1" applyAlignment="1">
      <alignment horizontal="right"/>
    </xf>
    <xf numFmtId="43" fontId="13" fillId="0" borderId="3" xfId="1" applyFont="1" applyBorder="1" applyAlignment="1">
      <alignment horizontal="right"/>
    </xf>
    <xf numFmtId="43" fontId="24" fillId="2" borderId="3" xfId="1" applyFont="1" applyFill="1" applyBorder="1" applyAlignment="1">
      <alignment horizontal="right" wrapText="1"/>
    </xf>
    <xf numFmtId="43" fontId="21" fillId="2" borderId="3" xfId="1" applyFont="1" applyFill="1" applyBorder="1" applyAlignment="1">
      <alignment horizontal="right" wrapText="1"/>
    </xf>
    <xf numFmtId="43" fontId="0" fillId="0" borderId="3" xfId="1" applyFont="1" applyBorder="1"/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abSelected="1" workbookViewId="0">
      <selection activeCell="B3" sqref="B3:L3"/>
    </sheetView>
  </sheetViews>
  <sheetFormatPr defaultRowHeight="15" x14ac:dyDescent="0.25"/>
  <cols>
    <col min="6" max="6" width="11" customWidth="1"/>
    <col min="7" max="8" width="13.7109375" customWidth="1"/>
    <col min="9" max="10" width="13.5703125" customWidth="1"/>
    <col min="11" max="11" width="9.7109375" customWidth="1"/>
    <col min="12" max="12" width="10.85546875" customWidth="1"/>
  </cols>
  <sheetData>
    <row r="1" spans="2:12" ht="42" customHeight="1" x14ac:dyDescent="0.25">
      <c r="B1" s="96" t="s">
        <v>126</v>
      </c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2:12" ht="18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2:12" ht="15.75" customHeight="1" x14ac:dyDescent="0.25">
      <c r="B3" s="96" t="s">
        <v>13</v>
      </c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2:12" ht="36" customHeight="1" x14ac:dyDescent="0.25">
      <c r="B4" s="115"/>
      <c r="C4" s="115"/>
      <c r="D4" s="115"/>
      <c r="E4" s="26"/>
      <c r="F4" s="26"/>
      <c r="G4" s="26"/>
      <c r="H4" s="26"/>
      <c r="I4" s="26"/>
      <c r="J4" s="28"/>
      <c r="K4" s="28"/>
      <c r="L4" s="27"/>
    </row>
    <row r="5" spans="2:12" ht="18" customHeight="1" x14ac:dyDescent="0.25">
      <c r="B5" s="96" t="s">
        <v>56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2:12" ht="18" customHeight="1" x14ac:dyDescent="0.25">
      <c r="B6" s="29"/>
      <c r="C6" s="30"/>
      <c r="D6" s="30"/>
      <c r="E6" s="30"/>
      <c r="F6" s="30"/>
      <c r="G6" s="30"/>
      <c r="H6" s="30"/>
      <c r="I6" s="30"/>
      <c r="J6" s="30"/>
      <c r="K6" s="30"/>
      <c r="L6" s="27"/>
    </row>
    <row r="7" spans="2:12" x14ac:dyDescent="0.25">
      <c r="B7" s="109" t="s">
        <v>57</v>
      </c>
      <c r="C7" s="109"/>
      <c r="D7" s="109"/>
      <c r="E7" s="109"/>
      <c r="F7" s="109"/>
      <c r="G7" s="31"/>
      <c r="H7" s="31"/>
      <c r="I7" s="31"/>
      <c r="J7" s="31"/>
      <c r="K7" s="32"/>
      <c r="L7" s="27"/>
    </row>
    <row r="8" spans="2:12" ht="39.75" customHeight="1" x14ac:dyDescent="0.25">
      <c r="B8" s="110" t="s">
        <v>6</v>
      </c>
      <c r="C8" s="111"/>
      <c r="D8" s="111"/>
      <c r="E8" s="111"/>
      <c r="F8" s="112"/>
      <c r="G8" s="14" t="s">
        <v>58</v>
      </c>
      <c r="H8" s="1" t="s">
        <v>115</v>
      </c>
      <c r="I8" s="1" t="s">
        <v>127</v>
      </c>
      <c r="J8" s="14" t="s">
        <v>128</v>
      </c>
      <c r="K8" s="1" t="s">
        <v>18</v>
      </c>
      <c r="L8" s="1" t="s">
        <v>48</v>
      </c>
    </row>
    <row r="9" spans="2:12" s="17" customFormat="1" ht="11.25" x14ac:dyDescent="0.2">
      <c r="B9" s="103">
        <v>1</v>
      </c>
      <c r="C9" s="103"/>
      <c r="D9" s="103"/>
      <c r="E9" s="103"/>
      <c r="F9" s="104"/>
      <c r="G9" s="16">
        <v>2</v>
      </c>
      <c r="H9" s="15">
        <v>3</v>
      </c>
      <c r="I9" s="15">
        <v>4</v>
      </c>
      <c r="J9" s="15">
        <v>5</v>
      </c>
      <c r="K9" s="15" t="s">
        <v>20</v>
      </c>
      <c r="L9" s="15" t="s">
        <v>21</v>
      </c>
    </row>
    <row r="10" spans="2:12" x14ac:dyDescent="0.25">
      <c r="B10" s="105" t="s">
        <v>0</v>
      </c>
      <c r="C10" s="106"/>
      <c r="D10" s="106"/>
      <c r="E10" s="106"/>
      <c r="F10" s="107"/>
      <c r="G10" s="12">
        <f>G11+G12</f>
        <v>52715</v>
      </c>
      <c r="H10" s="12">
        <f t="shared" ref="H10:J10" si="0">H11+H12</f>
        <v>104446</v>
      </c>
      <c r="I10" s="12">
        <f t="shared" si="0"/>
        <v>104446</v>
      </c>
      <c r="J10" s="12">
        <f t="shared" si="0"/>
        <v>44477</v>
      </c>
      <c r="K10" s="11">
        <f>J10/G10*100</f>
        <v>84.372569477378363</v>
      </c>
      <c r="L10" s="11">
        <f>J10/I10*100</f>
        <v>42.583727476399282</v>
      </c>
    </row>
    <row r="11" spans="2:12" x14ac:dyDescent="0.25">
      <c r="B11" s="108" t="s">
        <v>49</v>
      </c>
      <c r="C11" s="99"/>
      <c r="D11" s="99"/>
      <c r="E11" s="99"/>
      <c r="F11" s="101"/>
      <c r="G11" s="11">
        <v>52715</v>
      </c>
      <c r="H11" s="11">
        <v>104446</v>
      </c>
      <c r="I11" s="11">
        <v>104446</v>
      </c>
      <c r="J11" s="11">
        <v>44477</v>
      </c>
      <c r="K11" s="11">
        <f>J11/G11*100</f>
        <v>84.372569477378363</v>
      </c>
      <c r="L11" s="11">
        <f>J11/I11*100</f>
        <v>42.583727476399282</v>
      </c>
    </row>
    <row r="12" spans="2:12" x14ac:dyDescent="0.25">
      <c r="B12" s="100" t="s">
        <v>54</v>
      </c>
      <c r="C12" s="101"/>
      <c r="D12" s="101"/>
      <c r="E12" s="101"/>
      <c r="F12" s="101"/>
      <c r="G12" s="11"/>
      <c r="H12" s="11"/>
      <c r="I12" s="11"/>
      <c r="J12" s="11"/>
      <c r="K12" s="11"/>
      <c r="L12" s="11"/>
    </row>
    <row r="13" spans="2:12" x14ac:dyDescent="0.25">
      <c r="B13" s="13" t="s">
        <v>1</v>
      </c>
      <c r="C13" s="23"/>
      <c r="D13" s="23"/>
      <c r="E13" s="23"/>
      <c r="F13" s="23"/>
      <c r="G13" s="12">
        <f>G14+G15</f>
        <v>45205</v>
      </c>
      <c r="H13" s="12">
        <f>H14+H15</f>
        <v>104446</v>
      </c>
      <c r="I13" s="12">
        <f>I14+I15</f>
        <v>104446</v>
      </c>
      <c r="J13" s="12">
        <f t="shared" ref="J13" si="1">J14+J15</f>
        <v>42068</v>
      </c>
      <c r="K13" s="11">
        <f>J13/G13*100</f>
        <v>93.060502156841068</v>
      </c>
      <c r="L13" s="11">
        <f>J13/I13*100</f>
        <v>40.277272466154763</v>
      </c>
    </row>
    <row r="14" spans="2:12" x14ac:dyDescent="0.25">
      <c r="B14" s="98" t="s">
        <v>50</v>
      </c>
      <c r="C14" s="99"/>
      <c r="D14" s="99"/>
      <c r="E14" s="99"/>
      <c r="F14" s="99"/>
      <c r="G14" s="11">
        <v>45205</v>
      </c>
      <c r="H14" s="11">
        <v>100465</v>
      </c>
      <c r="I14" s="11">
        <v>100465</v>
      </c>
      <c r="J14" s="11">
        <v>42068</v>
      </c>
      <c r="K14" s="11">
        <f t="shared" ref="K14:K16" si="2">J14/G14*100</f>
        <v>93.060502156841068</v>
      </c>
      <c r="L14" s="11">
        <f t="shared" ref="L14:L15" si="3">J14/I14*100</f>
        <v>41.873289205195839</v>
      </c>
    </row>
    <row r="15" spans="2:12" x14ac:dyDescent="0.25">
      <c r="B15" s="100" t="s">
        <v>51</v>
      </c>
      <c r="C15" s="101"/>
      <c r="D15" s="101"/>
      <c r="E15" s="101"/>
      <c r="F15" s="101"/>
      <c r="G15" s="11">
        <v>0</v>
      </c>
      <c r="H15" s="11">
        <v>3981</v>
      </c>
      <c r="I15" s="11">
        <v>3981</v>
      </c>
      <c r="J15" s="11">
        <v>0</v>
      </c>
      <c r="K15" s="11">
        <f>IF(G15 &gt;0,J15/G15*100,0)</f>
        <v>0</v>
      </c>
      <c r="L15" s="11">
        <f t="shared" si="3"/>
        <v>0</v>
      </c>
    </row>
    <row r="16" spans="2:12" x14ac:dyDescent="0.25">
      <c r="B16" s="114" t="s">
        <v>59</v>
      </c>
      <c r="C16" s="106"/>
      <c r="D16" s="106"/>
      <c r="E16" s="106"/>
      <c r="F16" s="106"/>
      <c r="G16" s="12">
        <f>G10-G13</f>
        <v>7510</v>
      </c>
      <c r="H16" s="12">
        <f t="shared" ref="H16:J16" si="4">H10-H13</f>
        <v>0</v>
      </c>
      <c r="I16" s="12">
        <f t="shared" si="4"/>
        <v>0</v>
      </c>
      <c r="J16" s="12">
        <f t="shared" si="4"/>
        <v>2409</v>
      </c>
      <c r="K16" s="11">
        <f t="shared" si="2"/>
        <v>32.077230359520634</v>
      </c>
      <c r="L16" s="11">
        <f>IF(I16&gt;0,J16/I16*100,0)</f>
        <v>0</v>
      </c>
    </row>
    <row r="17" spans="1:43" ht="18" x14ac:dyDescent="0.25">
      <c r="B17" s="26"/>
      <c r="C17" s="33"/>
      <c r="D17" s="33"/>
      <c r="E17" s="33"/>
      <c r="F17" s="33"/>
      <c r="G17" s="33"/>
      <c r="H17" s="33"/>
      <c r="I17" s="34"/>
      <c r="J17" s="34"/>
      <c r="K17" s="34"/>
      <c r="L17" s="34"/>
    </row>
    <row r="18" spans="1:43" ht="18" customHeight="1" x14ac:dyDescent="0.25">
      <c r="B18" s="109" t="s">
        <v>60</v>
      </c>
      <c r="C18" s="109"/>
      <c r="D18" s="109"/>
      <c r="E18" s="109"/>
      <c r="F18" s="109"/>
      <c r="G18" s="33"/>
      <c r="H18" s="33"/>
      <c r="I18" s="34"/>
      <c r="J18" s="34"/>
      <c r="K18" s="34"/>
      <c r="L18" s="34"/>
    </row>
    <row r="19" spans="1:43" ht="40.5" customHeight="1" x14ac:dyDescent="0.25">
      <c r="B19" s="110" t="s">
        <v>6</v>
      </c>
      <c r="C19" s="111"/>
      <c r="D19" s="111"/>
      <c r="E19" s="111"/>
      <c r="F19" s="112"/>
      <c r="G19" s="14" t="s">
        <v>58</v>
      </c>
      <c r="H19" s="1" t="s">
        <v>116</v>
      </c>
      <c r="I19" s="1" t="s">
        <v>127</v>
      </c>
      <c r="J19" s="14" t="s">
        <v>128</v>
      </c>
      <c r="K19" s="1" t="s">
        <v>18</v>
      </c>
      <c r="L19" s="1" t="s">
        <v>48</v>
      </c>
    </row>
    <row r="20" spans="1:43" s="17" customFormat="1" x14ac:dyDescent="0.25">
      <c r="B20" s="103">
        <v>1</v>
      </c>
      <c r="C20" s="103"/>
      <c r="D20" s="103"/>
      <c r="E20" s="103"/>
      <c r="F20" s="104"/>
      <c r="G20" s="16">
        <v>2</v>
      </c>
      <c r="H20" s="15">
        <v>3</v>
      </c>
      <c r="I20" s="15">
        <v>4</v>
      </c>
      <c r="J20" s="15">
        <v>5</v>
      </c>
      <c r="K20" s="15" t="s">
        <v>20</v>
      </c>
      <c r="L20" s="15" t="s">
        <v>21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24" customHeight="1" x14ac:dyDescent="0.25">
      <c r="A21" s="17"/>
      <c r="B21" s="108" t="s">
        <v>52</v>
      </c>
      <c r="C21" s="119"/>
      <c r="D21" s="119"/>
      <c r="E21" s="119"/>
      <c r="F21" s="120"/>
      <c r="G21" s="11"/>
      <c r="H21" s="11">
        <v>0</v>
      </c>
      <c r="I21" s="11">
        <v>0</v>
      </c>
      <c r="J21" s="11"/>
      <c r="K21" s="11">
        <f>IF(J21 &lt;&gt; 0,J21/G21*0,0)</f>
        <v>0</v>
      </c>
      <c r="L21" s="11">
        <f t="shared" ref="L21:L24" si="5">IF(I21&gt; 0,J21/I21*100,0)</f>
        <v>0</v>
      </c>
    </row>
    <row r="22" spans="1:43" ht="25.5" customHeight="1" x14ac:dyDescent="0.25">
      <c r="A22" s="17"/>
      <c r="B22" s="108" t="s">
        <v>53</v>
      </c>
      <c r="C22" s="99"/>
      <c r="D22" s="99"/>
      <c r="E22" s="99"/>
      <c r="F22" s="99"/>
      <c r="G22" s="11"/>
      <c r="H22" s="11">
        <v>0</v>
      </c>
      <c r="I22" s="11">
        <v>0</v>
      </c>
      <c r="J22" s="11"/>
      <c r="K22" s="11">
        <f t="shared" ref="K22:K25" si="6">IF(J22 &lt;&gt; 0,J22/G22*0,0)</f>
        <v>0</v>
      </c>
      <c r="L22" s="11">
        <f t="shared" si="5"/>
        <v>0</v>
      </c>
    </row>
    <row r="23" spans="1:43" s="24" customFormat="1" ht="15" customHeight="1" x14ac:dyDescent="0.25">
      <c r="A23" s="17"/>
      <c r="B23" s="116" t="s">
        <v>55</v>
      </c>
      <c r="C23" s="117"/>
      <c r="D23" s="117"/>
      <c r="E23" s="117"/>
      <c r="F23" s="118"/>
      <c r="G23" s="12"/>
      <c r="H23" s="12"/>
      <c r="I23" s="12"/>
      <c r="J23" s="12"/>
      <c r="K23" s="11">
        <f t="shared" si="6"/>
        <v>0</v>
      </c>
      <c r="L23" s="11">
        <f t="shared" si="5"/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24" customFormat="1" ht="24" customHeight="1" x14ac:dyDescent="0.25">
      <c r="A24" s="17"/>
      <c r="B24" s="116" t="s">
        <v>61</v>
      </c>
      <c r="C24" s="117"/>
      <c r="D24" s="117"/>
      <c r="E24" s="117"/>
      <c r="F24" s="118"/>
      <c r="G24" s="12"/>
      <c r="H24" s="12"/>
      <c r="I24" s="12"/>
      <c r="J24" s="12"/>
      <c r="K24" s="11">
        <f t="shared" si="6"/>
        <v>0</v>
      </c>
      <c r="L24" s="11">
        <f t="shared" si="5"/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ht="27" customHeight="1" x14ac:dyDescent="0.25">
      <c r="A25" s="17"/>
      <c r="B25" s="114" t="s">
        <v>62</v>
      </c>
      <c r="C25" s="106"/>
      <c r="D25" s="106"/>
      <c r="E25" s="106"/>
      <c r="F25" s="106"/>
      <c r="G25" s="12">
        <v>7510</v>
      </c>
      <c r="H25" s="12"/>
      <c r="I25" s="12"/>
      <c r="J25" s="12">
        <v>2409</v>
      </c>
      <c r="K25" s="11">
        <f t="shared" si="6"/>
        <v>0</v>
      </c>
      <c r="L25" s="11">
        <f>IF(I25&gt; 0,J25/I25*100,0)</f>
        <v>0</v>
      </c>
    </row>
    <row r="26" spans="1:43" ht="15.75" x14ac:dyDescent="0.25">
      <c r="B26" s="35"/>
      <c r="C26" s="36"/>
      <c r="D26" s="36"/>
      <c r="E26" s="36"/>
      <c r="F26" s="36"/>
      <c r="G26" s="37"/>
      <c r="H26" s="37"/>
      <c r="I26" s="37"/>
      <c r="J26" s="37"/>
      <c r="K26" s="37"/>
      <c r="L26" s="27"/>
    </row>
    <row r="27" spans="1:43" ht="15.75" x14ac:dyDescent="0.25">
      <c r="B27" s="121" t="s">
        <v>68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43" ht="15.75" x14ac:dyDescent="0.25">
      <c r="B28" s="8"/>
      <c r="C28" s="9"/>
      <c r="D28" s="9"/>
      <c r="E28" s="9"/>
      <c r="F28" s="9"/>
      <c r="G28" s="10"/>
      <c r="H28" s="10"/>
      <c r="I28" s="10"/>
      <c r="J28" s="10"/>
      <c r="K28" s="10"/>
    </row>
    <row r="29" spans="1:43" ht="42" customHeight="1" x14ac:dyDescent="0.25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</row>
    <row r="30" spans="1:43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43" ht="15" customHeight="1" x14ac:dyDescent="0.25"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</row>
    <row r="32" spans="1:43" ht="36.75" customHeight="1" x14ac:dyDescent="0.25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</row>
    <row r="33" spans="2:12" x14ac:dyDescent="0.25">
      <c r="B33" s="97"/>
      <c r="C33" s="97"/>
      <c r="D33" s="97"/>
      <c r="E33" s="97"/>
      <c r="F33" s="97"/>
      <c r="G33" s="97"/>
      <c r="H33" s="97"/>
      <c r="I33" s="97"/>
      <c r="J33" s="97"/>
      <c r="K33" s="97"/>
    </row>
    <row r="34" spans="2:12" ht="15" customHeight="1" x14ac:dyDescent="0.25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</row>
    <row r="35" spans="2:12" x14ac:dyDescent="0.25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69"/>
  <sheetViews>
    <sheetView topLeftCell="C19" zoomScaleNormal="100" workbookViewId="0">
      <selection activeCell="H14" sqref="H14"/>
    </sheetView>
  </sheetViews>
  <sheetFormatPr defaultRowHeight="15" x14ac:dyDescent="0.25"/>
  <cols>
    <col min="2" max="2" width="3.42578125" customWidth="1"/>
    <col min="3" max="3" width="4.140625" customWidth="1"/>
    <col min="4" max="4" width="5.42578125" bestFit="1" customWidth="1"/>
    <col min="5" max="5" width="5.42578125" customWidth="1"/>
    <col min="6" max="6" width="44.7109375" customWidth="1"/>
    <col min="7" max="7" width="11.7109375" customWidth="1"/>
    <col min="8" max="8" width="12.42578125" customWidth="1"/>
    <col min="9" max="9" width="12.140625" customWidth="1"/>
    <col min="10" max="10" width="11" style="80" customWidth="1"/>
    <col min="11" max="11" width="10.42578125" customWidth="1"/>
    <col min="12" max="12" width="9.7109375" customWidth="1"/>
    <col min="14" max="14" width="0" hidden="1" customWidth="1"/>
  </cols>
  <sheetData>
    <row r="1" spans="2:14" ht="18" customHeight="1" x14ac:dyDescent="0.25">
      <c r="B1" s="73"/>
      <c r="C1" s="73"/>
      <c r="D1" s="73"/>
      <c r="E1" s="73"/>
      <c r="F1" s="73"/>
      <c r="G1" s="73"/>
      <c r="H1" s="73"/>
      <c r="I1" s="73"/>
      <c r="J1" s="78"/>
      <c r="K1" s="73"/>
    </row>
    <row r="2" spans="2:14" ht="15.75" customHeight="1" x14ac:dyDescent="0.25">
      <c r="B2" s="125" t="s">
        <v>13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2:14" ht="18.75" x14ac:dyDescent="0.25">
      <c r="B3" s="73"/>
      <c r="C3" s="73"/>
      <c r="D3" s="73"/>
      <c r="E3" s="73"/>
      <c r="F3" s="73"/>
      <c r="G3" s="73"/>
      <c r="H3" s="73"/>
      <c r="I3" s="73"/>
      <c r="J3" s="79"/>
      <c r="K3" s="74"/>
    </row>
    <row r="4" spans="2:14" ht="18" customHeight="1" x14ac:dyDescent="0.25">
      <c r="B4" s="125" t="s">
        <v>63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2:14" ht="18.75" x14ac:dyDescent="0.25">
      <c r="B5" s="73"/>
      <c r="C5" s="73"/>
      <c r="D5" s="73"/>
      <c r="E5" s="73"/>
      <c r="F5" s="73"/>
      <c r="G5" s="73"/>
      <c r="H5" s="73"/>
      <c r="I5" s="73"/>
      <c r="J5" s="79"/>
      <c r="K5" s="74"/>
    </row>
    <row r="6" spans="2:14" ht="15.75" customHeight="1" x14ac:dyDescent="0.25">
      <c r="B6" s="125" t="s">
        <v>19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2:14" ht="18.75" x14ac:dyDescent="0.25">
      <c r="B7" s="73"/>
      <c r="C7" s="73"/>
      <c r="D7" s="73"/>
      <c r="E7" s="73"/>
      <c r="F7" s="73"/>
      <c r="G7" s="73"/>
      <c r="H7" s="73"/>
      <c r="I7" s="73"/>
      <c r="J7" s="79"/>
      <c r="K7" s="74"/>
    </row>
    <row r="8" spans="2:14" s="38" customFormat="1" ht="38.25" x14ac:dyDescent="0.25">
      <c r="B8" s="122" t="s">
        <v>6</v>
      </c>
      <c r="C8" s="123"/>
      <c r="D8" s="123"/>
      <c r="E8" s="123"/>
      <c r="F8" s="124"/>
      <c r="G8" s="51" t="s">
        <v>58</v>
      </c>
      <c r="H8" s="51" t="s">
        <v>115</v>
      </c>
      <c r="I8" s="51" t="s">
        <v>127</v>
      </c>
      <c r="J8" s="76" t="s">
        <v>128</v>
      </c>
      <c r="K8" s="51" t="s">
        <v>18</v>
      </c>
      <c r="L8" s="51" t="s">
        <v>48</v>
      </c>
    </row>
    <row r="9" spans="2:14" ht="16.5" customHeight="1" x14ac:dyDescent="0.25">
      <c r="B9" s="122">
        <v>1</v>
      </c>
      <c r="C9" s="123"/>
      <c r="D9" s="123"/>
      <c r="E9" s="123"/>
      <c r="F9" s="124"/>
      <c r="G9" s="51">
        <v>2</v>
      </c>
      <c r="H9" s="51">
        <v>3</v>
      </c>
      <c r="I9" s="51">
        <v>4</v>
      </c>
      <c r="J9" s="76">
        <v>5</v>
      </c>
      <c r="K9" s="51" t="s">
        <v>20</v>
      </c>
      <c r="L9" s="51" t="s">
        <v>21</v>
      </c>
    </row>
    <row r="10" spans="2:14" s="41" customFormat="1" ht="12.75" x14ac:dyDescent="0.2">
      <c r="B10" s="60"/>
      <c r="C10" s="60"/>
      <c r="D10" s="60"/>
      <c r="E10" s="60"/>
      <c r="F10" s="60" t="s">
        <v>22</v>
      </c>
      <c r="G10" s="86">
        <f>G14+G17</f>
        <v>42349</v>
      </c>
      <c r="H10" s="86">
        <f>H14+H17</f>
        <v>113012.64999999998</v>
      </c>
      <c r="I10" s="86">
        <f>I14+I17</f>
        <v>113012.64999999998</v>
      </c>
      <c r="J10" s="86">
        <f>J14+J17</f>
        <v>46699.7</v>
      </c>
      <c r="K10" s="40">
        <f>IF(G10 &gt;0,J10/G10*100,0)</f>
        <v>110.27344211197429</v>
      </c>
      <c r="L10" s="40">
        <f>IF(I10&gt;0,J10/I10*100,0)</f>
        <v>41.322542210982583</v>
      </c>
    </row>
    <row r="11" spans="2:14" s="41" customFormat="1" ht="15.75" customHeight="1" x14ac:dyDescent="0.2">
      <c r="B11" s="60">
        <v>6</v>
      </c>
      <c r="C11" s="60"/>
      <c r="D11" s="60"/>
      <c r="E11" s="60"/>
      <c r="F11" s="60" t="s">
        <v>2</v>
      </c>
      <c r="G11" s="86">
        <f>G12+G15</f>
        <v>42349</v>
      </c>
      <c r="H11" s="86">
        <f>H12+H15</f>
        <v>113012.64999999998</v>
      </c>
      <c r="I11" s="86">
        <f>I12+I15</f>
        <v>113012.64999999998</v>
      </c>
      <c r="J11" s="86">
        <f>J12+J15</f>
        <v>46699.7</v>
      </c>
      <c r="K11" s="40">
        <f t="shared" ref="K11:K17" si="0">IF(G11 &gt;0,J11/G11*100,0)</f>
        <v>110.27344211197429</v>
      </c>
      <c r="L11" s="40">
        <f t="shared" ref="L11:L17" si="1">IF(I11&gt;0,J11/I11*100,0)</f>
        <v>41.322542210982583</v>
      </c>
    </row>
    <row r="12" spans="2:14" s="41" customFormat="1" ht="38.25" x14ac:dyDescent="0.2">
      <c r="B12" s="58"/>
      <c r="C12" s="58">
        <v>66</v>
      </c>
      <c r="D12" s="77"/>
      <c r="E12" s="77"/>
      <c r="F12" s="60" t="s">
        <v>78</v>
      </c>
      <c r="G12" s="86">
        <f>G13</f>
        <v>0</v>
      </c>
      <c r="H12" s="86">
        <f>H13</f>
        <v>11220.64999999998</v>
      </c>
      <c r="I12" s="86">
        <f>I13</f>
        <v>11220.64999999998</v>
      </c>
      <c r="J12" s="86">
        <f>J13</f>
        <v>0</v>
      </c>
      <c r="K12" s="40">
        <f t="shared" si="0"/>
        <v>0</v>
      </c>
      <c r="L12" s="40">
        <f t="shared" si="1"/>
        <v>0</v>
      </c>
    </row>
    <row r="13" spans="2:14" s="41" customFormat="1" ht="12.75" x14ac:dyDescent="0.2">
      <c r="B13" s="58"/>
      <c r="C13" s="58"/>
      <c r="D13" s="77">
        <v>661</v>
      </c>
      <c r="E13" s="77"/>
      <c r="F13" s="60" t="s">
        <v>23</v>
      </c>
      <c r="G13" s="86">
        <f>SUM(G14)</f>
        <v>0</v>
      </c>
      <c r="H13" s="86">
        <f>SUM(H14)</f>
        <v>11220.64999999998</v>
      </c>
      <c r="I13" s="86">
        <f>SUM(I14)</f>
        <v>11220.64999999998</v>
      </c>
      <c r="J13" s="86">
        <f>SUM(J14)</f>
        <v>0</v>
      </c>
      <c r="K13" s="40">
        <f t="shared" si="0"/>
        <v>0</v>
      </c>
      <c r="L13" s="40">
        <f t="shared" si="1"/>
        <v>0</v>
      </c>
    </row>
    <row r="14" spans="2:14" s="42" customFormat="1" ht="12.75" x14ac:dyDescent="0.2">
      <c r="B14" s="57"/>
      <c r="C14" s="58"/>
      <c r="D14" s="59"/>
      <c r="E14" s="57">
        <v>6615</v>
      </c>
      <c r="F14" s="42" t="s">
        <v>77</v>
      </c>
      <c r="G14" s="87">
        <v>0</v>
      </c>
      <c r="H14" s="87">
        <f>H21-H17</f>
        <v>11220.64999999998</v>
      </c>
      <c r="I14" s="87">
        <f>I21-I17</f>
        <v>11220.64999999998</v>
      </c>
      <c r="J14" s="91">
        <v>0</v>
      </c>
      <c r="K14" s="40">
        <f t="shared" si="0"/>
        <v>0</v>
      </c>
      <c r="L14" s="40">
        <f t="shared" si="1"/>
        <v>0</v>
      </c>
      <c r="N14" s="42">
        <v>2870000</v>
      </c>
    </row>
    <row r="15" spans="2:14" s="41" customFormat="1" ht="25.5" x14ac:dyDescent="0.2">
      <c r="B15" s="58"/>
      <c r="C15" s="58">
        <v>67</v>
      </c>
      <c r="D15" s="77"/>
      <c r="E15" s="77"/>
      <c r="F15" s="60" t="s">
        <v>79</v>
      </c>
      <c r="G15" s="86">
        <f>G16</f>
        <v>42349</v>
      </c>
      <c r="H15" s="86">
        <f>H16</f>
        <v>101792</v>
      </c>
      <c r="I15" s="86">
        <f>I16</f>
        <v>101792</v>
      </c>
      <c r="J15" s="86">
        <f>J16</f>
        <v>46699.7</v>
      </c>
      <c r="K15" s="40">
        <f t="shared" si="0"/>
        <v>110.27344211197429</v>
      </c>
      <c r="L15" s="40">
        <f t="shared" si="1"/>
        <v>45.877573876139579</v>
      </c>
    </row>
    <row r="16" spans="2:14" s="41" customFormat="1" ht="25.5" x14ac:dyDescent="0.2">
      <c r="B16" s="58"/>
      <c r="C16" s="58"/>
      <c r="D16" s="77">
        <v>671</v>
      </c>
      <c r="E16" s="77"/>
      <c r="F16" s="60" t="s">
        <v>80</v>
      </c>
      <c r="G16" s="86">
        <f>SUM(G17)</f>
        <v>42349</v>
      </c>
      <c r="H16" s="86">
        <f>SUM(H17)</f>
        <v>101792</v>
      </c>
      <c r="I16" s="86">
        <f>SUM(I17)</f>
        <v>101792</v>
      </c>
      <c r="J16" s="86">
        <f>SUM(J17)</f>
        <v>46699.7</v>
      </c>
      <c r="K16" s="40">
        <f t="shared" si="0"/>
        <v>110.27344211197429</v>
      </c>
      <c r="L16" s="40">
        <f t="shared" si="1"/>
        <v>45.877573876139579</v>
      </c>
    </row>
    <row r="17" spans="2:14" s="42" customFormat="1" ht="25.5" x14ac:dyDescent="0.2">
      <c r="B17" s="57"/>
      <c r="C17" s="57"/>
      <c r="D17" s="59"/>
      <c r="E17" s="57">
        <v>6711</v>
      </c>
      <c r="F17" s="66" t="s">
        <v>81</v>
      </c>
      <c r="G17" s="91">
        <f>G21</f>
        <v>42349</v>
      </c>
      <c r="H17" s="87">
        <v>101792</v>
      </c>
      <c r="I17" s="87">
        <v>101792</v>
      </c>
      <c r="J17" s="91">
        <v>46699.7</v>
      </c>
      <c r="K17" s="40">
        <f t="shared" si="0"/>
        <v>110.27344211197429</v>
      </c>
      <c r="L17" s="40">
        <f t="shared" si="1"/>
        <v>45.877573876139579</v>
      </c>
      <c r="N17" s="42">
        <v>1860000</v>
      </c>
    </row>
    <row r="18" spans="2:14" s="42" customFormat="1" ht="15.75" customHeight="1" x14ac:dyDescent="0.2">
      <c r="J18" s="44"/>
    </row>
    <row r="19" spans="2:14" s="42" customFormat="1" ht="38.25" x14ac:dyDescent="0.2">
      <c r="B19" s="122" t="s">
        <v>6</v>
      </c>
      <c r="C19" s="123"/>
      <c r="D19" s="123"/>
      <c r="E19" s="123"/>
      <c r="F19" s="124"/>
      <c r="G19" s="51" t="s">
        <v>58</v>
      </c>
      <c r="H19" s="51" t="s">
        <v>115</v>
      </c>
      <c r="I19" s="51" t="s">
        <v>127</v>
      </c>
      <c r="J19" s="76" t="s">
        <v>128</v>
      </c>
      <c r="K19" s="51" t="s">
        <v>18</v>
      </c>
      <c r="L19" s="51" t="s">
        <v>48</v>
      </c>
    </row>
    <row r="20" spans="2:14" s="42" customFormat="1" ht="12.75" customHeight="1" x14ac:dyDescent="0.2">
      <c r="B20" s="122">
        <v>1</v>
      </c>
      <c r="C20" s="123"/>
      <c r="D20" s="123"/>
      <c r="E20" s="123"/>
      <c r="F20" s="124"/>
      <c r="G20" s="51">
        <v>2</v>
      </c>
      <c r="H20" s="51">
        <v>3</v>
      </c>
      <c r="I20" s="51">
        <v>4</v>
      </c>
      <c r="J20" s="76">
        <v>5</v>
      </c>
      <c r="K20" s="51" t="s">
        <v>20</v>
      </c>
      <c r="L20" s="51" t="s">
        <v>21</v>
      </c>
    </row>
    <row r="21" spans="2:14" s="41" customFormat="1" ht="12.75" x14ac:dyDescent="0.2">
      <c r="B21" s="60"/>
      <c r="C21" s="60"/>
      <c r="D21" s="60"/>
      <c r="E21" s="60"/>
      <c r="F21" s="60" t="s">
        <v>7</v>
      </c>
      <c r="G21" s="86">
        <f t="shared" ref="G21" si="2">G22+G63+G59</f>
        <v>42349</v>
      </c>
      <c r="H21" s="86">
        <f>H22+H63</f>
        <v>113012.64999999998</v>
      </c>
      <c r="I21" s="86">
        <f>I22+I63</f>
        <v>113012.64999999998</v>
      </c>
      <c r="J21" s="86">
        <f>J22+J63</f>
        <v>52602.81</v>
      </c>
      <c r="K21" s="40">
        <f>IF(G21&lt;&gt; 0,J21/G21*100,0)</f>
        <v>124.21263784268812</v>
      </c>
      <c r="L21" s="40">
        <f>J21/I21*100</f>
        <v>46.54594861725657</v>
      </c>
    </row>
    <row r="22" spans="2:14" s="41" customFormat="1" ht="12.75" x14ac:dyDescent="0.2">
      <c r="B22" s="60">
        <v>3</v>
      </c>
      <c r="C22" s="60"/>
      <c r="D22" s="60"/>
      <c r="E22" s="60"/>
      <c r="F22" s="60" t="s">
        <v>3</v>
      </c>
      <c r="G22" s="86">
        <f t="shared" ref="G22" si="3">G23+G34+G59</f>
        <v>42061</v>
      </c>
      <c r="H22" s="86">
        <f>H23+H34+H59</f>
        <v>111812.64999999998</v>
      </c>
      <c r="I22" s="86">
        <f>I23+I34+I59</f>
        <v>111812.64999999998</v>
      </c>
      <c r="J22" s="86">
        <f>J23+J34+J59</f>
        <v>52602.81</v>
      </c>
      <c r="K22" s="40">
        <f t="shared" ref="K22:K69" si="4">IF(G22&lt;&gt; 0,J22/G22*100,0)</f>
        <v>125.06314638263474</v>
      </c>
      <c r="L22" s="40">
        <f t="shared" ref="L22:L28" si="5">J22/I22*100</f>
        <v>47.045490827737297</v>
      </c>
    </row>
    <row r="23" spans="2:14" s="41" customFormat="1" ht="12.75" x14ac:dyDescent="0.2">
      <c r="B23" s="60"/>
      <c r="C23" s="60">
        <v>31</v>
      </c>
      <c r="D23" s="60"/>
      <c r="E23" s="60"/>
      <c r="F23" s="60" t="s">
        <v>4</v>
      </c>
      <c r="G23" s="86">
        <f>G24+G27+G29</f>
        <v>36963</v>
      </c>
      <c r="H23" s="86">
        <f>H24+H27+H29+H32</f>
        <v>97685.249999999985</v>
      </c>
      <c r="I23" s="86">
        <f>I24+I27+I29+I32</f>
        <v>97685.249999999985</v>
      </c>
      <c r="J23" s="86">
        <f>J24+J27+J29+J32</f>
        <v>46736.479999999996</v>
      </c>
      <c r="K23" s="40">
        <f t="shared" si="4"/>
        <v>126.44125206287367</v>
      </c>
      <c r="L23" s="40">
        <f t="shared" si="5"/>
        <v>47.843947781266877</v>
      </c>
    </row>
    <row r="24" spans="2:14" s="41" customFormat="1" ht="12.75" x14ac:dyDescent="0.2">
      <c r="B24" s="58"/>
      <c r="C24" s="58"/>
      <c r="D24" s="58">
        <v>311</v>
      </c>
      <c r="E24" s="58"/>
      <c r="F24" s="58" t="s">
        <v>134</v>
      </c>
      <c r="G24" s="86">
        <f>G25+G26</f>
        <v>31388</v>
      </c>
      <c r="H24" s="86">
        <f>H25+H26</f>
        <v>60285.240000000005</v>
      </c>
      <c r="I24" s="86">
        <f>I25+I26</f>
        <v>60285.240000000005</v>
      </c>
      <c r="J24" s="86">
        <f>J25+J26</f>
        <v>38924.39</v>
      </c>
      <c r="K24" s="40">
        <f t="shared" si="4"/>
        <v>124.01041799413788</v>
      </c>
      <c r="L24" s="40">
        <f t="shared" si="5"/>
        <v>64.567031664798861</v>
      </c>
    </row>
    <row r="25" spans="2:14" s="41" customFormat="1" ht="12.75" x14ac:dyDescent="0.2">
      <c r="B25" s="58"/>
      <c r="C25" s="58"/>
      <c r="D25" s="58"/>
      <c r="E25" s="57">
        <v>3111</v>
      </c>
      <c r="F25" s="57" t="s">
        <v>25</v>
      </c>
      <c r="G25" s="91">
        <v>31388</v>
      </c>
      <c r="H25" s="87">
        <f>42177.12+11427</f>
        <v>53604.12</v>
      </c>
      <c r="I25" s="87">
        <f>42177.12+11427</f>
        <v>53604.12</v>
      </c>
      <c r="J25" s="91">
        <v>38924.39</v>
      </c>
      <c r="K25" s="43">
        <f t="shared" ref="K25" si="6">IF(G25&lt;&gt; 0,J25/G25*100,0)</f>
        <v>124.01041799413788</v>
      </c>
      <c r="L25" s="43">
        <f t="shared" ref="L25" si="7">J25/I25*100</f>
        <v>72.614549030932693</v>
      </c>
    </row>
    <row r="26" spans="2:14" s="42" customFormat="1" ht="12.75" x14ac:dyDescent="0.2">
      <c r="B26" s="57"/>
      <c r="C26" s="57"/>
      <c r="D26" s="57"/>
      <c r="E26" s="57">
        <v>3111</v>
      </c>
      <c r="F26" s="57" t="s">
        <v>135</v>
      </c>
      <c r="G26" s="91">
        <v>0</v>
      </c>
      <c r="H26" s="87">
        <f>5181.12+1500</f>
        <v>6681.12</v>
      </c>
      <c r="I26" s="87">
        <f>5181.12+1500</f>
        <v>6681.12</v>
      </c>
      <c r="J26" s="91">
        <v>0</v>
      </c>
      <c r="K26" s="43">
        <f t="shared" si="4"/>
        <v>0</v>
      </c>
      <c r="L26" s="43">
        <f t="shared" si="5"/>
        <v>0</v>
      </c>
      <c r="N26" s="42">
        <v>1860000</v>
      </c>
    </row>
    <row r="27" spans="2:14" s="41" customFormat="1" ht="12.75" x14ac:dyDescent="0.2">
      <c r="B27" s="58"/>
      <c r="C27" s="58"/>
      <c r="D27" s="58">
        <v>312</v>
      </c>
      <c r="E27" s="58"/>
      <c r="F27" s="58" t="s">
        <v>69</v>
      </c>
      <c r="G27" s="92">
        <f>G28</f>
        <v>1624</v>
      </c>
      <c r="H27" s="86">
        <f>SUM(H28)</f>
        <v>7665.76</v>
      </c>
      <c r="I27" s="86">
        <f t="shared" ref="I27:I44" si="8">H27</f>
        <v>7665.76</v>
      </c>
      <c r="J27" s="92">
        <f>J28</f>
        <v>1389.49</v>
      </c>
      <c r="K27" s="40">
        <f t="shared" si="4"/>
        <v>85.559729064039416</v>
      </c>
      <c r="L27" s="40">
        <f t="shared" si="5"/>
        <v>18.125926196489324</v>
      </c>
    </row>
    <row r="28" spans="2:14" s="42" customFormat="1" ht="12.75" x14ac:dyDescent="0.2">
      <c r="B28" s="57"/>
      <c r="C28" s="57"/>
      <c r="D28" s="57"/>
      <c r="E28" s="57">
        <v>3121</v>
      </c>
      <c r="F28" s="57" t="s">
        <v>132</v>
      </c>
      <c r="G28" s="91">
        <v>1624</v>
      </c>
      <c r="H28" s="87">
        <f>4480+3185.76</f>
        <v>7665.76</v>
      </c>
      <c r="I28" s="87">
        <f>4480+3185.76</f>
        <v>7665.76</v>
      </c>
      <c r="J28" s="91">
        <v>1389.49</v>
      </c>
      <c r="K28" s="43">
        <f t="shared" si="4"/>
        <v>85.559729064039416</v>
      </c>
      <c r="L28" s="43">
        <f t="shared" si="5"/>
        <v>18.125926196489324</v>
      </c>
      <c r="N28" s="42">
        <v>80000</v>
      </c>
    </row>
    <row r="29" spans="2:14" s="41" customFormat="1" ht="12.75" x14ac:dyDescent="0.2">
      <c r="B29" s="58"/>
      <c r="C29" s="58"/>
      <c r="D29" s="58">
        <v>313</v>
      </c>
      <c r="E29" s="58"/>
      <c r="F29" s="58" t="s">
        <v>131</v>
      </c>
      <c r="G29" s="86">
        <f t="shared" ref="G29:J29" si="9">G31</f>
        <v>3951</v>
      </c>
      <c r="H29" s="86">
        <f>H31+H30</f>
        <v>26801.519999999997</v>
      </c>
      <c r="I29" s="86">
        <f>I31+I30</f>
        <v>26801.519999999997</v>
      </c>
      <c r="J29" s="86">
        <f t="shared" si="9"/>
        <v>6422.6</v>
      </c>
      <c r="K29" s="40">
        <f t="shared" si="4"/>
        <v>162.55631485699823</v>
      </c>
      <c r="L29" s="40">
        <f>IF(I29&lt;&gt;0,J29/I29*100,0)</f>
        <v>23.96356624549653</v>
      </c>
    </row>
    <row r="30" spans="2:14" s="41" customFormat="1" ht="12.75" x14ac:dyDescent="0.2">
      <c r="B30" s="58"/>
      <c r="C30" s="58"/>
      <c r="D30" s="58"/>
      <c r="E30" s="57">
        <v>3131</v>
      </c>
      <c r="F30" s="57" t="s">
        <v>130</v>
      </c>
      <c r="G30" s="86"/>
      <c r="H30" s="87">
        <f>10367.72+4000</f>
        <v>14367.72</v>
      </c>
      <c r="I30" s="87">
        <f>10367.72+4000</f>
        <v>14367.72</v>
      </c>
      <c r="J30" s="86">
        <v>0</v>
      </c>
      <c r="K30" s="40"/>
      <c r="L30" s="40"/>
    </row>
    <row r="31" spans="2:14" s="42" customFormat="1" ht="12.75" x14ac:dyDescent="0.2">
      <c r="B31" s="57"/>
      <c r="C31" s="57"/>
      <c r="D31" s="57"/>
      <c r="E31" s="57">
        <v>3132</v>
      </c>
      <c r="F31" s="57" t="s">
        <v>129</v>
      </c>
      <c r="G31" s="91">
        <v>3951</v>
      </c>
      <c r="H31" s="88">
        <f>8433.8+4000</f>
        <v>12433.8</v>
      </c>
      <c r="I31" s="88">
        <f>8433.8+4000</f>
        <v>12433.8</v>
      </c>
      <c r="J31" s="91">
        <v>6422.6</v>
      </c>
      <c r="K31" s="43">
        <f t="shared" si="4"/>
        <v>162.55631485699823</v>
      </c>
      <c r="L31" s="43">
        <f t="shared" ref="L31:L69" si="10">IF(I31&lt;&gt;0,J31/I31*100,0)</f>
        <v>51.654361498496037</v>
      </c>
    </row>
    <row r="32" spans="2:14" s="42" customFormat="1" ht="12.75" x14ac:dyDescent="0.2">
      <c r="B32" s="57"/>
      <c r="C32" s="57"/>
      <c r="D32" s="58">
        <v>317</v>
      </c>
      <c r="E32" s="57"/>
      <c r="F32" s="58" t="s">
        <v>69</v>
      </c>
      <c r="G32" s="91"/>
      <c r="H32" s="90">
        <f>SUM(H33)</f>
        <v>2932.73</v>
      </c>
      <c r="I32" s="90">
        <f>SUM(I33)</f>
        <v>2932.73</v>
      </c>
      <c r="J32" s="91">
        <v>0</v>
      </c>
      <c r="K32" s="43"/>
      <c r="L32" s="43"/>
    </row>
    <row r="33" spans="2:14" s="42" customFormat="1" ht="12.75" x14ac:dyDescent="0.2">
      <c r="B33" s="57"/>
      <c r="C33" s="57"/>
      <c r="D33" s="58"/>
      <c r="E33" s="57">
        <v>3171</v>
      </c>
      <c r="F33" s="57" t="s">
        <v>133</v>
      </c>
      <c r="G33" s="91"/>
      <c r="H33" s="88">
        <v>2932.73</v>
      </c>
      <c r="I33" s="88">
        <v>2932.73</v>
      </c>
      <c r="J33" s="91">
        <v>0</v>
      </c>
      <c r="K33" s="43"/>
      <c r="L33" s="43"/>
    </row>
    <row r="34" spans="2:14" s="41" customFormat="1" ht="12.75" x14ac:dyDescent="0.2">
      <c r="B34" s="58"/>
      <c r="C34" s="58">
        <v>32</v>
      </c>
      <c r="D34" s="77"/>
      <c r="E34" s="77"/>
      <c r="F34" s="58" t="s">
        <v>14</v>
      </c>
      <c r="G34" s="86">
        <f t="shared" ref="G34" si="11">G35+G40+G44+G54+G57</f>
        <v>4810</v>
      </c>
      <c r="H34" s="86">
        <f t="shared" ref="H34:J34" si="12">H35+H40+H44+H54+H57</f>
        <v>13527.4</v>
      </c>
      <c r="I34" s="86">
        <f t="shared" si="12"/>
        <v>13527.4</v>
      </c>
      <c r="J34" s="86">
        <f t="shared" si="12"/>
        <v>5635.1200000000008</v>
      </c>
      <c r="K34" s="40">
        <f t="shared" si="4"/>
        <v>117.15426195426197</v>
      </c>
      <c r="L34" s="40">
        <f>IF(H34&lt;&gt;0,J34/H34*100,0)</f>
        <v>41.657081183375972</v>
      </c>
    </row>
    <row r="35" spans="2:14" s="41" customFormat="1" ht="12.75" x14ac:dyDescent="0.2">
      <c r="B35" s="58"/>
      <c r="C35" s="58"/>
      <c r="D35" s="58">
        <v>321</v>
      </c>
      <c r="E35" s="58"/>
      <c r="F35" s="58" t="s">
        <v>26</v>
      </c>
      <c r="G35" s="86">
        <f>SUM(G36:G39)</f>
        <v>1962</v>
      </c>
      <c r="H35" s="86">
        <f>SUM(H36:H39)</f>
        <v>8400.4</v>
      </c>
      <c r="I35" s="86">
        <f t="shared" si="8"/>
        <v>8400.4</v>
      </c>
      <c r="J35" s="86">
        <f>SUM(J36:J39)</f>
        <v>4128.21</v>
      </c>
      <c r="K35" s="40">
        <f t="shared" si="4"/>
        <v>210.40825688073394</v>
      </c>
      <c r="L35" s="40">
        <f t="shared" si="10"/>
        <v>49.143016999190522</v>
      </c>
    </row>
    <row r="36" spans="2:14" s="42" customFormat="1" ht="12.75" x14ac:dyDescent="0.2">
      <c r="B36" s="57"/>
      <c r="C36" s="58"/>
      <c r="D36" s="57"/>
      <c r="E36" s="57">
        <v>3211</v>
      </c>
      <c r="F36" s="67" t="s">
        <v>27</v>
      </c>
      <c r="G36" s="91">
        <v>229</v>
      </c>
      <c r="H36" s="87">
        <v>2000</v>
      </c>
      <c r="I36" s="87">
        <v>2000</v>
      </c>
      <c r="J36" s="91">
        <v>635.41999999999996</v>
      </c>
      <c r="K36" s="43">
        <f t="shared" si="4"/>
        <v>277.47598253275106</v>
      </c>
      <c r="L36" s="43">
        <f t="shared" si="10"/>
        <v>31.771000000000001</v>
      </c>
      <c r="N36" s="42">
        <v>100000</v>
      </c>
    </row>
    <row r="37" spans="2:14" s="42" customFormat="1" ht="12.75" x14ac:dyDescent="0.2">
      <c r="B37" s="57"/>
      <c r="C37" s="58"/>
      <c r="D37" s="57"/>
      <c r="E37" s="57">
        <v>3212</v>
      </c>
      <c r="F37" s="67" t="s">
        <v>94</v>
      </c>
      <c r="G37" s="91">
        <f>1264+129</f>
        <v>1393</v>
      </c>
      <c r="H37" s="87">
        <v>4400.3999999999996</v>
      </c>
      <c r="I37" s="87">
        <v>4400.3999999999996</v>
      </c>
      <c r="J37" s="91">
        <v>1271.9000000000001</v>
      </c>
      <c r="K37" s="43">
        <f t="shared" si="4"/>
        <v>91.306532663316588</v>
      </c>
      <c r="L37" s="43">
        <f t="shared" si="10"/>
        <v>28.90419052813381</v>
      </c>
    </row>
    <row r="38" spans="2:14" s="42" customFormat="1" ht="12.75" x14ac:dyDescent="0.2">
      <c r="B38" s="57"/>
      <c r="C38" s="58"/>
      <c r="D38" s="57"/>
      <c r="E38" s="57">
        <v>3213</v>
      </c>
      <c r="F38" s="57" t="s">
        <v>82</v>
      </c>
      <c r="G38" s="91">
        <v>340</v>
      </c>
      <c r="H38" s="87">
        <v>2000</v>
      </c>
      <c r="I38" s="87">
        <v>2000</v>
      </c>
      <c r="J38" s="91">
        <v>498.75</v>
      </c>
      <c r="K38" s="43"/>
      <c r="L38" s="43"/>
    </row>
    <row r="39" spans="2:14" s="42" customFormat="1" ht="12.75" x14ac:dyDescent="0.2">
      <c r="B39" s="57"/>
      <c r="C39" s="58"/>
      <c r="D39" s="59"/>
      <c r="E39" s="57">
        <v>3214</v>
      </c>
      <c r="F39" s="57" t="s">
        <v>136</v>
      </c>
      <c r="G39" s="91">
        <v>0</v>
      </c>
      <c r="H39" s="87">
        <v>0</v>
      </c>
      <c r="I39" s="87">
        <v>0</v>
      </c>
      <c r="J39" s="91">
        <v>1722.14</v>
      </c>
      <c r="K39" s="43">
        <f>IF(G39&lt;&gt; 0,J39/G39*100,0)</f>
        <v>0</v>
      </c>
      <c r="L39" s="43">
        <f>IF(I39&lt;&gt;0,J39/I39*100,0)</f>
        <v>0</v>
      </c>
      <c r="N39" s="42">
        <v>20000</v>
      </c>
    </row>
    <row r="40" spans="2:14" s="41" customFormat="1" ht="12.75" x14ac:dyDescent="0.2">
      <c r="B40" s="58"/>
      <c r="C40" s="58"/>
      <c r="D40" s="77">
        <v>322</v>
      </c>
      <c r="E40" s="58"/>
      <c r="F40" s="58" t="s">
        <v>83</v>
      </c>
      <c r="G40" s="86">
        <f>SUM(G41:G43)</f>
        <v>1356</v>
      </c>
      <c r="H40" s="86">
        <f>SUM(H41:H43)</f>
        <v>1700</v>
      </c>
      <c r="I40" s="86">
        <f t="shared" si="8"/>
        <v>1700</v>
      </c>
      <c r="J40" s="86">
        <f>SUM(J41:J43)</f>
        <v>0</v>
      </c>
      <c r="K40" s="40">
        <f t="shared" si="4"/>
        <v>0</v>
      </c>
      <c r="L40" s="40">
        <f t="shared" si="10"/>
        <v>0</v>
      </c>
    </row>
    <row r="41" spans="2:14" s="42" customFormat="1" ht="12.75" x14ac:dyDescent="0.2">
      <c r="B41" s="57"/>
      <c r="C41" s="58"/>
      <c r="D41" s="59"/>
      <c r="E41" s="57">
        <v>3221</v>
      </c>
      <c r="F41" s="57" t="s">
        <v>84</v>
      </c>
      <c r="G41" s="91">
        <v>683</v>
      </c>
      <c r="H41" s="87">
        <v>1000</v>
      </c>
      <c r="I41" s="87">
        <v>1000</v>
      </c>
      <c r="J41" s="91">
        <v>0</v>
      </c>
      <c r="K41" s="43">
        <f t="shared" si="4"/>
        <v>0</v>
      </c>
      <c r="L41" s="43">
        <f t="shared" si="10"/>
        <v>0</v>
      </c>
      <c r="N41" s="42">
        <f>10000</f>
        <v>10000</v>
      </c>
    </row>
    <row r="42" spans="2:14" s="42" customFormat="1" ht="12.75" x14ac:dyDescent="0.2">
      <c r="B42" s="57"/>
      <c r="C42" s="58"/>
      <c r="D42" s="59"/>
      <c r="E42" s="57">
        <v>3223</v>
      </c>
      <c r="F42" s="57" t="s">
        <v>85</v>
      </c>
      <c r="G42" s="91">
        <v>0</v>
      </c>
      <c r="H42" s="87">
        <v>0</v>
      </c>
      <c r="I42" s="87">
        <v>0</v>
      </c>
      <c r="J42" s="91">
        <v>0</v>
      </c>
      <c r="K42" s="43">
        <f t="shared" si="4"/>
        <v>0</v>
      </c>
      <c r="L42" s="43">
        <f t="shared" si="10"/>
        <v>0</v>
      </c>
    </row>
    <row r="43" spans="2:14" s="42" customFormat="1" ht="12.75" x14ac:dyDescent="0.2">
      <c r="B43" s="57"/>
      <c r="C43" s="58"/>
      <c r="D43" s="59"/>
      <c r="E43" s="57">
        <v>3225</v>
      </c>
      <c r="F43" s="57" t="s">
        <v>118</v>
      </c>
      <c r="G43" s="91">
        <v>673</v>
      </c>
      <c r="H43" s="87">
        <v>700</v>
      </c>
      <c r="I43" s="87">
        <v>700</v>
      </c>
      <c r="J43" s="91">
        <v>0</v>
      </c>
      <c r="K43" s="43">
        <f t="shared" si="4"/>
        <v>0</v>
      </c>
      <c r="L43" s="43">
        <f t="shared" si="10"/>
        <v>0</v>
      </c>
      <c r="N43" s="42">
        <f>350000+200000</f>
        <v>550000</v>
      </c>
    </row>
    <row r="44" spans="2:14" s="41" customFormat="1" ht="12.75" x14ac:dyDescent="0.2">
      <c r="B44" s="58"/>
      <c r="C44" s="58"/>
      <c r="D44" s="77">
        <v>323</v>
      </c>
      <c r="E44" s="58"/>
      <c r="F44" s="58" t="s">
        <v>86</v>
      </c>
      <c r="G44" s="86">
        <f>SUM(G45:G53)</f>
        <v>1071</v>
      </c>
      <c r="H44" s="86">
        <f>SUM(H45:H53)</f>
        <v>3427</v>
      </c>
      <c r="I44" s="86">
        <f t="shared" si="8"/>
        <v>3427</v>
      </c>
      <c r="J44" s="86">
        <f>SUM(J45:J53)</f>
        <v>1455.31</v>
      </c>
      <c r="K44" s="40">
        <f t="shared" si="4"/>
        <v>135.88328664799252</v>
      </c>
      <c r="L44" s="40">
        <f t="shared" si="10"/>
        <v>42.466005252407349</v>
      </c>
    </row>
    <row r="45" spans="2:14" s="42" customFormat="1" ht="12.75" x14ac:dyDescent="0.2">
      <c r="B45" s="57"/>
      <c r="C45" s="58"/>
      <c r="D45" s="59"/>
      <c r="E45" s="57">
        <v>3231</v>
      </c>
      <c r="F45" s="57" t="s">
        <v>71</v>
      </c>
      <c r="G45" s="91">
        <v>378</v>
      </c>
      <c r="H45" s="87">
        <v>1000</v>
      </c>
      <c r="I45" s="87">
        <v>1000</v>
      </c>
      <c r="J45" s="91">
        <v>399.24</v>
      </c>
      <c r="K45" s="43">
        <f t="shared" si="4"/>
        <v>105.61904761904761</v>
      </c>
      <c r="L45" s="43">
        <f t="shared" si="10"/>
        <v>39.923999999999999</v>
      </c>
      <c r="N45" s="42">
        <v>45000</v>
      </c>
    </row>
    <row r="46" spans="2:14" s="42" customFormat="1" ht="12.75" x14ac:dyDescent="0.2">
      <c r="B46" s="57"/>
      <c r="C46" s="58"/>
      <c r="D46" s="59"/>
      <c r="E46" s="57">
        <v>3232</v>
      </c>
      <c r="F46" s="57" t="s">
        <v>72</v>
      </c>
      <c r="G46" s="91">
        <v>0</v>
      </c>
      <c r="H46" s="87">
        <v>0</v>
      </c>
      <c r="I46" s="87">
        <v>0</v>
      </c>
      <c r="J46" s="91">
        <v>0</v>
      </c>
      <c r="K46" s="43">
        <f t="shared" si="4"/>
        <v>0</v>
      </c>
      <c r="L46" s="43">
        <f t="shared" si="10"/>
        <v>0</v>
      </c>
      <c r="N46" s="42">
        <f>50000+10000</f>
        <v>60000</v>
      </c>
    </row>
    <row r="47" spans="2:14" s="42" customFormat="1" ht="12.75" x14ac:dyDescent="0.2">
      <c r="B47" s="57"/>
      <c r="C47" s="58"/>
      <c r="D47" s="59"/>
      <c r="E47" s="57">
        <v>3233</v>
      </c>
      <c r="F47" s="57" t="s">
        <v>73</v>
      </c>
      <c r="G47" s="91">
        <v>112</v>
      </c>
      <c r="H47" s="87">
        <v>0</v>
      </c>
      <c r="I47" s="87">
        <v>0</v>
      </c>
      <c r="J47" s="91">
        <v>112.72</v>
      </c>
      <c r="K47" s="43">
        <f t="shared" si="4"/>
        <v>100.64285714285714</v>
      </c>
      <c r="L47" s="43">
        <f t="shared" si="10"/>
        <v>0</v>
      </c>
      <c r="N47" s="42">
        <v>100000</v>
      </c>
    </row>
    <row r="48" spans="2:14" s="42" customFormat="1" ht="12.75" x14ac:dyDescent="0.2">
      <c r="B48" s="57"/>
      <c r="C48" s="58"/>
      <c r="D48" s="59"/>
      <c r="E48" s="57">
        <v>3234</v>
      </c>
      <c r="F48" s="57" t="s">
        <v>75</v>
      </c>
      <c r="G48" s="91">
        <v>0</v>
      </c>
      <c r="H48" s="87">
        <v>0</v>
      </c>
      <c r="I48" s="87">
        <v>0</v>
      </c>
      <c r="J48" s="91">
        <v>0</v>
      </c>
      <c r="K48" s="43">
        <f t="shared" si="4"/>
        <v>0</v>
      </c>
      <c r="L48" s="43">
        <f t="shared" si="10"/>
        <v>0</v>
      </c>
      <c r="N48" s="42">
        <v>60000</v>
      </c>
    </row>
    <row r="49" spans="2:14" s="42" customFormat="1" ht="12.75" x14ac:dyDescent="0.2">
      <c r="B49" s="57"/>
      <c r="C49" s="58"/>
      <c r="D49" s="59"/>
      <c r="E49" s="57">
        <v>3235</v>
      </c>
      <c r="F49" s="57" t="s">
        <v>95</v>
      </c>
      <c r="G49" s="91">
        <v>0</v>
      </c>
      <c r="H49" s="87">
        <v>0</v>
      </c>
      <c r="I49" s="87">
        <v>0</v>
      </c>
      <c r="J49" s="91">
        <v>0</v>
      </c>
      <c r="K49" s="43">
        <f t="shared" si="4"/>
        <v>0</v>
      </c>
      <c r="L49" s="43">
        <f t="shared" si="10"/>
        <v>0</v>
      </c>
    </row>
    <row r="50" spans="2:14" s="42" customFormat="1" ht="12.75" x14ac:dyDescent="0.2">
      <c r="B50" s="57"/>
      <c r="C50" s="58"/>
      <c r="D50" s="59"/>
      <c r="E50" s="57">
        <v>3236</v>
      </c>
      <c r="F50" s="57" t="s">
        <v>137</v>
      </c>
      <c r="G50" s="91">
        <v>0</v>
      </c>
      <c r="H50" s="87">
        <v>0</v>
      </c>
      <c r="I50" s="87">
        <v>0</v>
      </c>
      <c r="J50" s="91">
        <v>478.8</v>
      </c>
      <c r="K50" s="43">
        <f t="shared" si="4"/>
        <v>0</v>
      </c>
      <c r="L50" s="43">
        <f t="shared" si="10"/>
        <v>0</v>
      </c>
    </row>
    <row r="51" spans="2:14" s="42" customFormat="1" ht="12.75" x14ac:dyDescent="0.2">
      <c r="B51" s="57"/>
      <c r="C51" s="58"/>
      <c r="D51" s="59"/>
      <c r="E51" s="57">
        <v>3237</v>
      </c>
      <c r="F51" s="57" t="s">
        <v>87</v>
      </c>
      <c r="G51" s="91">
        <v>557</v>
      </c>
      <c r="H51" s="87">
        <v>700</v>
      </c>
      <c r="I51" s="87">
        <v>700</v>
      </c>
      <c r="J51" s="91">
        <v>464.55</v>
      </c>
      <c r="K51" s="43">
        <f t="shared" si="4"/>
        <v>83.402154398563738</v>
      </c>
      <c r="L51" s="43">
        <f t="shared" si="10"/>
        <v>66.364285714285714</v>
      </c>
      <c r="N51" s="42">
        <v>20000</v>
      </c>
    </row>
    <row r="52" spans="2:14" s="42" customFormat="1" ht="12.75" x14ac:dyDescent="0.2">
      <c r="B52" s="57"/>
      <c r="C52" s="58"/>
      <c r="D52" s="59"/>
      <c r="E52" s="57">
        <v>3238</v>
      </c>
      <c r="F52" s="57" t="s">
        <v>96</v>
      </c>
      <c r="G52" s="91">
        <v>0</v>
      </c>
      <c r="H52" s="87">
        <v>664</v>
      </c>
      <c r="I52" s="87">
        <v>664</v>
      </c>
      <c r="J52" s="91">
        <v>0</v>
      </c>
      <c r="K52" s="43">
        <f t="shared" si="4"/>
        <v>0</v>
      </c>
      <c r="L52" s="43">
        <f t="shared" si="10"/>
        <v>0</v>
      </c>
    </row>
    <row r="53" spans="2:14" s="42" customFormat="1" ht="12.75" x14ac:dyDescent="0.2">
      <c r="B53" s="57"/>
      <c r="C53" s="58"/>
      <c r="D53" s="59"/>
      <c r="E53" s="57">
        <v>3239</v>
      </c>
      <c r="F53" s="57" t="s">
        <v>74</v>
      </c>
      <c r="G53" s="91">
        <v>24</v>
      </c>
      <c r="H53" s="87">
        <v>1063</v>
      </c>
      <c r="I53" s="87">
        <v>1063</v>
      </c>
      <c r="J53" s="91">
        <v>0</v>
      </c>
      <c r="K53" s="43">
        <f t="shared" si="4"/>
        <v>0</v>
      </c>
      <c r="L53" s="43">
        <f t="shared" si="10"/>
        <v>0</v>
      </c>
      <c r="N53" s="42">
        <f>40000+220000</f>
        <v>260000</v>
      </c>
    </row>
    <row r="54" spans="2:14" s="41" customFormat="1" ht="12.75" x14ac:dyDescent="0.2">
      <c r="B54" s="58"/>
      <c r="C54" s="58"/>
      <c r="D54" s="77">
        <v>329</v>
      </c>
      <c r="E54" s="58"/>
      <c r="F54" s="58" t="s">
        <v>88</v>
      </c>
      <c r="G54" s="86">
        <f t="shared" ref="G54" si="13">SUM(G55:G56)</f>
        <v>421</v>
      </c>
      <c r="H54" s="86">
        <f t="shared" ref="H54:J54" si="14">SUM(H55:H56)</f>
        <v>0</v>
      </c>
      <c r="I54" s="86">
        <f t="shared" si="14"/>
        <v>0</v>
      </c>
      <c r="J54" s="86">
        <f t="shared" si="14"/>
        <v>51.6</v>
      </c>
      <c r="K54" s="40">
        <f t="shared" si="4"/>
        <v>12.256532066508314</v>
      </c>
      <c r="L54" s="40">
        <f t="shared" si="10"/>
        <v>0</v>
      </c>
    </row>
    <row r="55" spans="2:14" s="42" customFormat="1" ht="12.75" x14ac:dyDescent="0.2">
      <c r="B55" s="57"/>
      <c r="C55" s="58"/>
      <c r="D55" s="59"/>
      <c r="E55" s="57">
        <v>3293</v>
      </c>
      <c r="F55" s="57" t="s">
        <v>119</v>
      </c>
      <c r="G55" s="91">
        <v>316</v>
      </c>
      <c r="H55" s="87">
        <v>0</v>
      </c>
      <c r="I55" s="87">
        <v>0</v>
      </c>
      <c r="J55" s="91">
        <v>40</v>
      </c>
      <c r="K55" s="43">
        <f t="shared" si="4"/>
        <v>12.658227848101266</v>
      </c>
      <c r="L55" s="43">
        <f t="shared" si="10"/>
        <v>0</v>
      </c>
      <c r="N55" s="42">
        <v>10000</v>
      </c>
    </row>
    <row r="56" spans="2:14" s="42" customFormat="1" ht="12.75" x14ac:dyDescent="0.2">
      <c r="B56" s="57"/>
      <c r="C56" s="58"/>
      <c r="D56" s="59"/>
      <c r="E56" s="57">
        <v>3299</v>
      </c>
      <c r="F56" s="57" t="s">
        <v>120</v>
      </c>
      <c r="G56" s="91">
        <v>105</v>
      </c>
      <c r="H56" s="87">
        <v>0</v>
      </c>
      <c r="I56" s="87">
        <v>0</v>
      </c>
      <c r="J56" s="91">
        <v>11.6</v>
      </c>
      <c r="K56" s="43">
        <f t="shared" si="4"/>
        <v>11.047619047619047</v>
      </c>
      <c r="L56" s="43">
        <f t="shared" si="10"/>
        <v>0</v>
      </c>
    </row>
    <row r="57" spans="2:14" s="41" customFormat="1" ht="12.75" x14ac:dyDescent="0.2">
      <c r="B57" s="58"/>
      <c r="C57" s="58"/>
      <c r="D57" s="77">
        <v>324</v>
      </c>
      <c r="E57" s="58"/>
      <c r="F57" s="58" t="s">
        <v>70</v>
      </c>
      <c r="G57" s="86">
        <f t="shared" ref="G57:J57" si="15">SUM(G58)</f>
        <v>0</v>
      </c>
      <c r="H57" s="86">
        <f t="shared" si="15"/>
        <v>0</v>
      </c>
      <c r="I57" s="86">
        <f t="shared" si="15"/>
        <v>0</v>
      </c>
      <c r="J57" s="86">
        <f t="shared" si="15"/>
        <v>0</v>
      </c>
      <c r="K57" s="43">
        <f t="shared" si="4"/>
        <v>0</v>
      </c>
      <c r="L57" s="43">
        <f t="shared" si="10"/>
        <v>0</v>
      </c>
    </row>
    <row r="58" spans="2:14" s="42" customFormat="1" ht="12.75" x14ac:dyDescent="0.2">
      <c r="B58" s="57"/>
      <c r="C58" s="58"/>
      <c r="D58" s="59"/>
      <c r="E58" s="57">
        <v>3241</v>
      </c>
      <c r="F58" s="57" t="s">
        <v>70</v>
      </c>
      <c r="G58" s="91">
        <v>0</v>
      </c>
      <c r="H58" s="87">
        <v>0</v>
      </c>
      <c r="I58" s="87">
        <v>0</v>
      </c>
      <c r="J58" s="91">
        <v>0</v>
      </c>
      <c r="K58" s="43">
        <f t="shared" si="4"/>
        <v>0</v>
      </c>
      <c r="L58" s="43">
        <f t="shared" si="10"/>
        <v>0</v>
      </c>
      <c r="N58" s="42">
        <v>150000</v>
      </c>
    </row>
    <row r="59" spans="2:14" s="41" customFormat="1" ht="12.75" x14ac:dyDescent="0.2">
      <c r="B59" s="58"/>
      <c r="C59" s="58">
        <v>34</v>
      </c>
      <c r="D59" s="77"/>
      <c r="E59" s="58"/>
      <c r="F59" s="58" t="s">
        <v>89</v>
      </c>
      <c r="G59" s="86">
        <f t="shared" ref="G59" si="16">G60</f>
        <v>288</v>
      </c>
      <c r="H59" s="86">
        <f t="shared" ref="H59:I59" si="17">H60</f>
        <v>600</v>
      </c>
      <c r="I59" s="86">
        <f t="shared" si="17"/>
        <v>600</v>
      </c>
      <c r="J59" s="86">
        <f t="shared" ref="J59" si="18">J60</f>
        <v>231.21</v>
      </c>
      <c r="K59" s="40">
        <f t="shared" si="4"/>
        <v>80.28125</v>
      </c>
      <c r="L59" s="40">
        <f t="shared" si="10"/>
        <v>38.535000000000004</v>
      </c>
    </row>
    <row r="60" spans="2:14" s="41" customFormat="1" ht="12.75" x14ac:dyDescent="0.2">
      <c r="B60" s="58"/>
      <c r="C60" s="58"/>
      <c r="D60" s="77">
        <v>343</v>
      </c>
      <c r="E60" s="58"/>
      <c r="F60" s="58" t="s">
        <v>90</v>
      </c>
      <c r="G60" s="86">
        <f t="shared" ref="G60" si="19">SUM(G61:G62)</f>
        <v>288</v>
      </c>
      <c r="H60" s="86">
        <f t="shared" ref="H60:J60" si="20">SUM(H61:H62)</f>
        <v>600</v>
      </c>
      <c r="I60" s="86">
        <f t="shared" ref="I60" si="21">SUM(I61:I62)</f>
        <v>600</v>
      </c>
      <c r="J60" s="86">
        <f t="shared" si="20"/>
        <v>231.21</v>
      </c>
      <c r="K60" s="43">
        <f t="shared" si="4"/>
        <v>80.28125</v>
      </c>
      <c r="L60" s="43">
        <f t="shared" si="10"/>
        <v>38.535000000000004</v>
      </c>
    </row>
    <row r="61" spans="2:14" s="42" customFormat="1" ht="12.75" x14ac:dyDescent="0.2">
      <c r="B61" s="57"/>
      <c r="C61" s="57"/>
      <c r="D61" s="59"/>
      <c r="E61" s="59">
        <v>3431</v>
      </c>
      <c r="F61" s="57" t="s">
        <v>76</v>
      </c>
      <c r="G61" s="91">
        <v>288</v>
      </c>
      <c r="H61" s="89">
        <v>600</v>
      </c>
      <c r="I61" s="89">
        <v>600</v>
      </c>
      <c r="J61" s="91">
        <v>231.21</v>
      </c>
      <c r="K61" s="43">
        <f t="shared" si="4"/>
        <v>80.28125</v>
      </c>
      <c r="L61" s="43">
        <f t="shared" si="10"/>
        <v>38.535000000000004</v>
      </c>
      <c r="N61" s="42">
        <v>15000</v>
      </c>
    </row>
    <row r="62" spans="2:14" s="42" customFormat="1" ht="12.75" x14ac:dyDescent="0.2">
      <c r="B62" s="57"/>
      <c r="C62" s="57"/>
      <c r="D62" s="59"/>
      <c r="E62" s="59">
        <v>3433</v>
      </c>
      <c r="F62" s="57" t="s">
        <v>97</v>
      </c>
      <c r="G62" s="91">
        <v>0</v>
      </c>
      <c r="H62" s="87">
        <v>0</v>
      </c>
      <c r="I62" s="87">
        <v>0</v>
      </c>
      <c r="J62" s="91">
        <v>0</v>
      </c>
      <c r="K62" s="43">
        <f t="shared" si="4"/>
        <v>0</v>
      </c>
      <c r="L62" s="43">
        <f t="shared" si="10"/>
        <v>0</v>
      </c>
    </row>
    <row r="63" spans="2:14" s="41" customFormat="1" ht="12.75" x14ac:dyDescent="0.2">
      <c r="B63" s="69">
        <v>4</v>
      </c>
      <c r="C63" s="69"/>
      <c r="D63" s="69"/>
      <c r="E63" s="69"/>
      <c r="F63" s="70" t="s">
        <v>5</v>
      </c>
      <c r="G63" s="86">
        <f>G64</f>
        <v>0</v>
      </c>
      <c r="H63" s="86">
        <f>H64</f>
        <v>1200</v>
      </c>
      <c r="I63" s="86">
        <f>I64</f>
        <v>1200</v>
      </c>
      <c r="J63" s="86">
        <f>J64</f>
        <v>0</v>
      </c>
      <c r="K63" s="43">
        <f t="shared" si="4"/>
        <v>0</v>
      </c>
      <c r="L63" s="43">
        <f t="shared" si="10"/>
        <v>0</v>
      </c>
    </row>
    <row r="64" spans="2:14" s="41" customFormat="1" ht="12.75" x14ac:dyDescent="0.2">
      <c r="B64" s="60"/>
      <c r="C64" s="60">
        <v>42</v>
      </c>
      <c r="D64" s="60"/>
      <c r="E64" s="60"/>
      <c r="F64" s="70" t="s">
        <v>91</v>
      </c>
      <c r="G64" s="86">
        <f t="shared" ref="G64" si="22">G65+G68</f>
        <v>0</v>
      </c>
      <c r="H64" s="86">
        <f t="shared" ref="H64:J64" si="23">H65+H68</f>
        <v>1200</v>
      </c>
      <c r="I64" s="86">
        <f t="shared" ref="I64" si="24">I65+I68</f>
        <v>1200</v>
      </c>
      <c r="J64" s="86">
        <f t="shared" si="23"/>
        <v>0</v>
      </c>
      <c r="K64" s="43">
        <f t="shared" si="4"/>
        <v>0</v>
      </c>
      <c r="L64" s="43">
        <f t="shared" si="10"/>
        <v>0</v>
      </c>
    </row>
    <row r="65" spans="2:14" s="41" customFormat="1" ht="12.75" x14ac:dyDescent="0.2">
      <c r="B65" s="60"/>
      <c r="C65" s="60"/>
      <c r="D65" s="58">
        <v>422</v>
      </c>
      <c r="E65" s="58"/>
      <c r="F65" s="58" t="s">
        <v>92</v>
      </c>
      <c r="G65" s="86">
        <f t="shared" ref="G65" si="25">SUM(G66:G67)</f>
        <v>0</v>
      </c>
      <c r="H65" s="86">
        <f t="shared" ref="H65:J65" si="26">SUM(H66:H67)</f>
        <v>0</v>
      </c>
      <c r="I65" s="86">
        <f t="shared" ref="I65" si="27">SUM(I66:I67)</f>
        <v>0</v>
      </c>
      <c r="J65" s="86">
        <f t="shared" si="26"/>
        <v>0</v>
      </c>
      <c r="K65" s="43">
        <f t="shared" si="4"/>
        <v>0</v>
      </c>
      <c r="L65" s="43">
        <f t="shared" si="10"/>
        <v>0</v>
      </c>
    </row>
    <row r="66" spans="2:14" s="42" customFormat="1" ht="12.75" x14ac:dyDescent="0.2">
      <c r="B66" s="66"/>
      <c r="C66" s="66"/>
      <c r="D66" s="57"/>
      <c r="E66" s="57">
        <v>4221</v>
      </c>
      <c r="F66" s="57" t="s">
        <v>93</v>
      </c>
      <c r="G66" s="91">
        <v>0</v>
      </c>
      <c r="H66" s="87">
        <v>0</v>
      </c>
      <c r="I66" s="87">
        <v>0</v>
      </c>
      <c r="J66" s="91">
        <v>0</v>
      </c>
      <c r="K66" s="43">
        <f t="shared" si="4"/>
        <v>0</v>
      </c>
      <c r="L66" s="43">
        <f t="shared" si="10"/>
        <v>0</v>
      </c>
      <c r="N66" s="42">
        <f>20000+30000</f>
        <v>50000</v>
      </c>
    </row>
    <row r="67" spans="2:14" s="42" customFormat="1" ht="12.75" x14ac:dyDescent="0.2">
      <c r="B67" s="66"/>
      <c r="C67" s="66"/>
      <c r="D67" s="57"/>
      <c r="E67" s="57">
        <v>4227</v>
      </c>
      <c r="F67" s="42" t="s">
        <v>123</v>
      </c>
      <c r="G67" s="91">
        <v>0</v>
      </c>
      <c r="H67" s="87">
        <v>0</v>
      </c>
      <c r="I67" s="87">
        <v>0</v>
      </c>
      <c r="J67" s="91">
        <v>0</v>
      </c>
      <c r="K67" s="43">
        <f t="shared" ref="K67:K68" si="28">IF(G67&lt;&gt; 0,J67/G67*100,0)</f>
        <v>0</v>
      </c>
      <c r="L67" s="43">
        <f t="shared" ref="L67:L68" si="29">IF(I67&lt;&gt;0,J67/I67*100,0)</f>
        <v>0</v>
      </c>
    </row>
    <row r="68" spans="2:14" s="42" customFormat="1" ht="12.75" x14ac:dyDescent="0.2">
      <c r="B68" s="66"/>
      <c r="C68" s="66"/>
      <c r="D68" s="58">
        <v>426</v>
      </c>
      <c r="E68" s="58"/>
      <c r="F68" s="58" t="s">
        <v>122</v>
      </c>
      <c r="G68" s="86">
        <f t="shared" ref="G68" si="30">SUM(G69:G72)</f>
        <v>0</v>
      </c>
      <c r="H68" s="86">
        <f t="shared" ref="H68:J68" si="31">SUM(H69:H72)</f>
        <v>1200</v>
      </c>
      <c r="I68" s="86">
        <f t="shared" ref="I68" si="32">SUM(I69:I72)</f>
        <v>1200</v>
      </c>
      <c r="J68" s="86">
        <f t="shared" si="31"/>
        <v>0</v>
      </c>
      <c r="K68" s="43">
        <f t="shared" si="28"/>
        <v>0</v>
      </c>
      <c r="L68" s="43">
        <f t="shared" si="29"/>
        <v>0</v>
      </c>
    </row>
    <row r="69" spans="2:14" s="42" customFormat="1" ht="12.75" x14ac:dyDescent="0.2">
      <c r="B69" s="66"/>
      <c r="C69" s="66" t="s">
        <v>17</v>
      </c>
      <c r="D69" s="57"/>
      <c r="E69" s="57">
        <v>4261</v>
      </c>
      <c r="F69" s="57" t="s">
        <v>121</v>
      </c>
      <c r="G69" s="91">
        <v>0</v>
      </c>
      <c r="H69" s="87">
        <v>1200</v>
      </c>
      <c r="I69" s="87">
        <v>1200</v>
      </c>
      <c r="J69" s="91">
        <v>0</v>
      </c>
      <c r="K69" s="43">
        <f t="shared" si="4"/>
        <v>0</v>
      </c>
      <c r="L69" s="43">
        <f t="shared" si="10"/>
        <v>0</v>
      </c>
      <c r="N69" s="42">
        <v>20000</v>
      </c>
    </row>
  </sheetData>
  <mergeCells count="7">
    <mergeCell ref="B8:F8"/>
    <mergeCell ref="B9:F9"/>
    <mergeCell ref="B19:F19"/>
    <mergeCell ref="B20:F20"/>
    <mergeCell ref="B2:L2"/>
    <mergeCell ref="B4:L4"/>
    <mergeCell ref="B6:L6"/>
  </mergeCell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19"/>
  <sheetViews>
    <sheetView topLeftCell="A3" workbookViewId="0">
      <selection activeCell="C4" sqref="C4"/>
    </sheetView>
  </sheetViews>
  <sheetFormatPr defaultColWidth="23.7109375" defaultRowHeight="15" x14ac:dyDescent="0.25"/>
  <cols>
    <col min="1" max="1" width="4" customWidth="1"/>
    <col min="2" max="2" width="20" customWidth="1"/>
    <col min="3" max="3" width="16.140625" customWidth="1"/>
    <col min="4" max="4" width="13.42578125" customWidth="1"/>
    <col min="5" max="5" width="14.85546875" customWidth="1"/>
    <col min="6" max="6" width="11.28515625" customWidth="1"/>
    <col min="7" max="7" width="10.7109375" customWidth="1"/>
    <col min="8" max="8" width="11.5703125" customWidth="1"/>
  </cols>
  <sheetData>
    <row r="1" spans="2:8" ht="18.75" x14ac:dyDescent="0.25">
      <c r="B1" s="73"/>
      <c r="C1" s="73"/>
      <c r="D1" s="73"/>
      <c r="E1" s="73"/>
      <c r="F1" s="74"/>
      <c r="G1" s="74"/>
      <c r="H1" s="74"/>
    </row>
    <row r="2" spans="2:8" ht="15.75" customHeight="1" x14ac:dyDescent="0.25">
      <c r="B2" s="125" t="s">
        <v>37</v>
      </c>
      <c r="C2" s="125"/>
      <c r="D2" s="125"/>
      <c r="E2" s="125"/>
      <c r="F2" s="125"/>
      <c r="G2" s="125"/>
      <c r="H2" s="125"/>
    </row>
    <row r="3" spans="2:8" ht="18.75" x14ac:dyDescent="0.25">
      <c r="B3" s="73"/>
      <c r="C3" s="73"/>
      <c r="D3" s="73"/>
      <c r="E3" s="73"/>
      <c r="F3" s="74"/>
      <c r="G3" s="74"/>
      <c r="H3" s="74"/>
    </row>
    <row r="4" spans="2:8" ht="38.25" x14ac:dyDescent="0.25">
      <c r="B4" s="51" t="s">
        <v>6</v>
      </c>
      <c r="C4" s="51" t="s">
        <v>58</v>
      </c>
      <c r="D4" s="51" t="s">
        <v>115</v>
      </c>
      <c r="E4" s="51" t="s">
        <v>127</v>
      </c>
      <c r="F4" s="51" t="s">
        <v>141</v>
      </c>
      <c r="G4" s="51" t="s">
        <v>18</v>
      </c>
      <c r="H4" s="51" t="s">
        <v>48</v>
      </c>
    </row>
    <row r="5" spans="2:8" x14ac:dyDescent="0.25">
      <c r="B5" s="51">
        <v>1</v>
      </c>
      <c r="C5" s="51">
        <v>2</v>
      </c>
      <c r="D5" s="51">
        <v>3</v>
      </c>
      <c r="E5" s="51">
        <v>4</v>
      </c>
      <c r="F5" s="51">
        <v>5</v>
      </c>
      <c r="G5" s="51" t="s">
        <v>20</v>
      </c>
      <c r="H5" s="51" t="s">
        <v>21</v>
      </c>
    </row>
    <row r="6" spans="2:8" s="41" customFormat="1" ht="12.75" x14ac:dyDescent="0.2">
      <c r="B6" s="60" t="s">
        <v>36</v>
      </c>
      <c r="C6" s="86">
        <f>C7+C10</f>
        <v>44477</v>
      </c>
      <c r="D6" s="86">
        <f>D7+D10</f>
        <v>113012.64999999998</v>
      </c>
      <c r="E6" s="86">
        <f>E7+E10</f>
        <v>113012.64999999998</v>
      </c>
      <c r="F6" s="86">
        <f>F7+F10</f>
        <v>46699.7</v>
      </c>
      <c r="G6" s="40">
        <f>IF(C6 &gt; 0,F6/C6*100,0)</f>
        <v>104.99741439395642</v>
      </c>
      <c r="H6" s="40">
        <f>IF(E6&gt;0,F6/E6*100,0)</f>
        <v>41.322542210982583</v>
      </c>
    </row>
    <row r="7" spans="2:8" s="41" customFormat="1" ht="12.75" x14ac:dyDescent="0.2">
      <c r="B7" s="60" t="s">
        <v>98</v>
      </c>
      <c r="C7" s="92">
        <v>44477</v>
      </c>
      <c r="D7" s="86">
        <f>SUM(D8:D9)</f>
        <v>101792</v>
      </c>
      <c r="E7" s="86">
        <f>SUM(E8:E9)</f>
        <v>101792</v>
      </c>
      <c r="F7" s="92">
        <f>F8</f>
        <v>46699.7</v>
      </c>
      <c r="G7" s="40">
        <f t="shared" ref="G7:G18" si="0">IF(C7 &gt; 0,F7/C7*100,0)</f>
        <v>104.99741439395642</v>
      </c>
      <c r="H7" s="40">
        <f t="shared" ref="H7:H18" si="1">IF(E7&gt;0,F7/E7*100,0)</f>
        <v>45.877573876139579</v>
      </c>
    </row>
    <row r="8" spans="2:8" s="42" customFormat="1" ht="25.5" x14ac:dyDescent="0.2">
      <c r="B8" s="63" t="s">
        <v>99</v>
      </c>
      <c r="C8" s="91">
        <v>44477</v>
      </c>
      <c r="D8" s="87">
        <f>' Račun prihoda i rashoda'!H10-'Rashodi i prihodi prema izvoru'!D10</f>
        <v>101792</v>
      </c>
      <c r="E8" s="87">
        <f>' Račun prihoda i rashoda'!I10-'Rashodi i prihodi prema izvoru'!E10</f>
        <v>101792</v>
      </c>
      <c r="F8" s="91">
        <f>' Račun prihoda i rashoda'!J10</f>
        <v>46699.7</v>
      </c>
      <c r="G8" s="40">
        <f t="shared" si="0"/>
        <v>104.99741439395642</v>
      </c>
      <c r="H8" s="40">
        <f t="shared" si="1"/>
        <v>45.877573876139579</v>
      </c>
    </row>
    <row r="9" spans="2:8" s="42" customFormat="1" ht="12.75" x14ac:dyDescent="0.2">
      <c r="B9" s="64"/>
      <c r="C9" s="88"/>
      <c r="D9" s="87"/>
      <c r="E9" s="87"/>
      <c r="F9" s="88"/>
      <c r="G9" s="40">
        <f t="shared" si="0"/>
        <v>0</v>
      </c>
      <c r="H9" s="40">
        <f t="shared" si="1"/>
        <v>0</v>
      </c>
    </row>
    <row r="10" spans="2:8" s="41" customFormat="1" ht="12.75" x14ac:dyDescent="0.2">
      <c r="B10" s="60" t="s">
        <v>29</v>
      </c>
      <c r="C10" s="86">
        <f t="shared" ref="C10" si="2">SUM(C11:C12)</f>
        <v>0</v>
      </c>
      <c r="D10" s="86">
        <f t="shared" ref="D10:F10" si="3">SUM(D11:D12)</f>
        <v>11220.64999999998</v>
      </c>
      <c r="E10" s="86">
        <f t="shared" si="3"/>
        <v>11220.64999999998</v>
      </c>
      <c r="F10" s="86">
        <f t="shared" si="3"/>
        <v>0</v>
      </c>
      <c r="G10" s="40">
        <f t="shared" si="0"/>
        <v>0</v>
      </c>
      <c r="H10" s="40">
        <f t="shared" si="1"/>
        <v>0</v>
      </c>
    </row>
    <row r="11" spans="2:8" s="42" customFormat="1" ht="12.75" x14ac:dyDescent="0.2">
      <c r="B11" s="65" t="s">
        <v>28</v>
      </c>
      <c r="C11" s="88">
        <v>0</v>
      </c>
      <c r="D11" s="87">
        <f>' Račun prihoda i rashoda'!H13</f>
        <v>11220.64999999998</v>
      </c>
      <c r="E11" s="87">
        <f>' Račun prihoda i rashoda'!I13</f>
        <v>11220.64999999998</v>
      </c>
      <c r="F11" s="88">
        <v>0</v>
      </c>
      <c r="G11" s="40">
        <f t="shared" si="0"/>
        <v>0</v>
      </c>
      <c r="H11" s="40">
        <f t="shared" si="1"/>
        <v>0</v>
      </c>
    </row>
    <row r="12" spans="2:8" s="42" customFormat="1" ht="12.75" x14ac:dyDescent="0.2">
      <c r="B12" s="65"/>
      <c r="C12" s="88"/>
      <c r="D12" s="87"/>
      <c r="E12" s="93"/>
      <c r="F12" s="88"/>
      <c r="G12" s="40">
        <f t="shared" si="0"/>
        <v>0</v>
      </c>
      <c r="H12" s="40">
        <f t="shared" si="1"/>
        <v>0</v>
      </c>
    </row>
    <row r="13" spans="2:8" s="41" customFormat="1" ht="15.75" customHeight="1" x14ac:dyDescent="0.2">
      <c r="B13" s="60" t="s">
        <v>35</v>
      </c>
      <c r="C13" s="86">
        <f>C14+C17</f>
        <v>44477</v>
      </c>
      <c r="D13" s="86">
        <f>D14+D17</f>
        <v>113012.64999999998</v>
      </c>
      <c r="E13" s="86">
        <f>E14+E17</f>
        <v>113012.64999999998</v>
      </c>
      <c r="F13" s="86">
        <f>F14+F17</f>
        <v>52602.81</v>
      </c>
      <c r="G13" s="40">
        <f t="shared" si="0"/>
        <v>118.26968995211007</v>
      </c>
      <c r="H13" s="40">
        <f t="shared" si="1"/>
        <v>46.54594861725657</v>
      </c>
    </row>
    <row r="14" spans="2:8" s="41" customFormat="1" ht="15.75" customHeight="1" x14ac:dyDescent="0.2">
      <c r="B14" s="60" t="s">
        <v>98</v>
      </c>
      <c r="C14" s="90">
        <f>C15</f>
        <v>44477</v>
      </c>
      <c r="D14" s="86">
        <f>D15</f>
        <v>101792</v>
      </c>
      <c r="E14" s="86">
        <f>E15</f>
        <v>101792</v>
      </c>
      <c r="F14" s="90">
        <f>F15</f>
        <v>52602.81</v>
      </c>
      <c r="G14" s="40">
        <f t="shared" si="0"/>
        <v>118.26968995211007</v>
      </c>
      <c r="H14" s="40">
        <f t="shared" si="1"/>
        <v>51.676762417478784</v>
      </c>
    </row>
    <row r="15" spans="2:8" s="42" customFormat="1" ht="25.5" x14ac:dyDescent="0.2">
      <c r="B15" s="63" t="s">
        <v>99</v>
      </c>
      <c r="C15" s="86">
        <f>C8</f>
        <v>44477</v>
      </c>
      <c r="D15" s="86">
        <f>D7</f>
        <v>101792</v>
      </c>
      <c r="E15" s="86">
        <f>D15</f>
        <v>101792</v>
      </c>
      <c r="F15" s="86">
        <f>' Račun prihoda i rashoda'!J21</f>
        <v>52602.81</v>
      </c>
      <c r="G15" s="40">
        <f t="shared" si="0"/>
        <v>118.26968995211007</v>
      </c>
      <c r="H15" s="40">
        <f t="shared" si="1"/>
        <v>51.676762417478784</v>
      </c>
    </row>
    <row r="16" spans="2:8" s="42" customFormat="1" ht="12.75" x14ac:dyDescent="0.2">
      <c r="B16" s="64"/>
      <c r="C16" s="87"/>
      <c r="D16" s="87"/>
      <c r="E16" s="87"/>
      <c r="F16" s="88"/>
      <c r="G16" s="40">
        <f t="shared" si="0"/>
        <v>0</v>
      </c>
      <c r="H16" s="40">
        <f t="shared" si="1"/>
        <v>0</v>
      </c>
    </row>
    <row r="17" spans="2:8" s="41" customFormat="1" ht="12.75" x14ac:dyDescent="0.2">
      <c r="B17" s="60" t="s">
        <v>29</v>
      </c>
      <c r="C17" s="86">
        <f>C18</f>
        <v>0</v>
      </c>
      <c r="D17" s="86">
        <f>D18</f>
        <v>11220.64999999998</v>
      </c>
      <c r="E17" s="94">
        <f>E18</f>
        <v>11220.64999999998</v>
      </c>
      <c r="F17" s="90">
        <f>F18</f>
        <v>0</v>
      </c>
      <c r="G17" s="40">
        <f t="shared" si="0"/>
        <v>0</v>
      </c>
      <c r="H17" s="40">
        <f t="shared" si="1"/>
        <v>0</v>
      </c>
    </row>
    <row r="18" spans="2:8" s="42" customFormat="1" ht="12.75" x14ac:dyDescent="0.2">
      <c r="B18" s="65" t="s">
        <v>28</v>
      </c>
      <c r="C18" s="87">
        <v>0</v>
      </c>
      <c r="D18" s="87">
        <f>D11</f>
        <v>11220.64999999998</v>
      </c>
      <c r="E18" s="87">
        <f>E11</f>
        <v>11220.64999999998</v>
      </c>
      <c r="F18" s="87">
        <v>0</v>
      </c>
      <c r="G18" s="40">
        <f t="shared" si="0"/>
        <v>0</v>
      </c>
      <c r="H18" s="40">
        <f t="shared" si="1"/>
        <v>0</v>
      </c>
    </row>
    <row r="19" spans="2:8" x14ac:dyDescent="0.25">
      <c r="B19" s="66"/>
      <c r="C19" s="87"/>
      <c r="D19" s="87"/>
      <c r="E19" s="93"/>
      <c r="F19" s="95"/>
      <c r="G19" s="39"/>
      <c r="H19" s="39"/>
    </row>
  </sheetData>
  <mergeCells count="1">
    <mergeCell ref="B2:H2"/>
  </mergeCells>
  <pageMargins left="0.7" right="0.7" top="0.75" bottom="0.75" header="0.3" footer="0.3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"/>
  <sheetViews>
    <sheetView workbookViewId="0">
      <selection activeCell="F8" sqref="F8"/>
    </sheetView>
  </sheetViews>
  <sheetFormatPr defaultRowHeight="15" x14ac:dyDescent="0.25"/>
  <cols>
    <col min="2" max="2" width="37.7109375" customWidth="1"/>
    <col min="3" max="3" width="11.28515625" customWidth="1"/>
    <col min="4" max="4" width="10.85546875" customWidth="1"/>
    <col min="5" max="5" width="10.28515625" customWidth="1"/>
    <col min="6" max="6" width="10.5703125" customWidth="1"/>
    <col min="7" max="7" width="9.7109375" customWidth="1"/>
    <col min="8" max="8" width="10.28515625" customWidth="1"/>
  </cols>
  <sheetData>
    <row r="1" spans="2:8" ht="18.75" x14ac:dyDescent="0.25">
      <c r="B1" s="73"/>
      <c r="C1" s="73"/>
      <c r="D1" s="73"/>
      <c r="E1" s="73"/>
      <c r="F1" s="74"/>
      <c r="G1" s="74"/>
      <c r="H1" s="74"/>
    </row>
    <row r="2" spans="2:8" ht="15.75" customHeight="1" x14ac:dyDescent="0.25">
      <c r="B2" s="125" t="s">
        <v>46</v>
      </c>
      <c r="C2" s="125"/>
      <c r="D2" s="125"/>
      <c r="E2" s="125"/>
      <c r="F2" s="125"/>
      <c r="G2" s="125"/>
      <c r="H2" s="125"/>
    </row>
    <row r="3" spans="2:8" ht="18.75" x14ac:dyDescent="0.25">
      <c r="B3" s="73"/>
      <c r="C3" s="73"/>
      <c r="D3" s="73"/>
      <c r="E3" s="73"/>
      <c r="F3" s="74"/>
      <c r="G3" s="74"/>
      <c r="H3" s="74"/>
    </row>
    <row r="4" spans="2:8" ht="25.5" x14ac:dyDescent="0.25">
      <c r="B4" s="51" t="s">
        <v>6</v>
      </c>
      <c r="C4" s="51" t="s">
        <v>65</v>
      </c>
      <c r="D4" s="51" t="s">
        <v>115</v>
      </c>
      <c r="E4" s="51" t="s">
        <v>127</v>
      </c>
      <c r="F4" s="51" t="s">
        <v>138</v>
      </c>
      <c r="G4" s="51" t="s">
        <v>18</v>
      </c>
      <c r="H4" s="51" t="s">
        <v>48</v>
      </c>
    </row>
    <row r="5" spans="2:8" x14ac:dyDescent="0.25">
      <c r="B5" s="51">
        <v>1</v>
      </c>
      <c r="C5" s="51">
        <v>2</v>
      </c>
      <c r="D5" s="51">
        <v>3</v>
      </c>
      <c r="E5" s="51">
        <v>4</v>
      </c>
      <c r="F5" s="51">
        <v>5</v>
      </c>
      <c r="G5" s="51" t="s">
        <v>20</v>
      </c>
      <c r="H5" s="51" t="s">
        <v>21</v>
      </c>
    </row>
    <row r="6" spans="2:8" s="42" customFormat="1" ht="15.75" customHeight="1" x14ac:dyDescent="0.2">
      <c r="B6" s="60" t="s">
        <v>35</v>
      </c>
      <c r="C6" s="61"/>
      <c r="D6" s="61"/>
      <c r="E6" s="61"/>
      <c r="F6" s="45"/>
      <c r="G6" s="45"/>
      <c r="H6" s="45"/>
    </row>
    <row r="7" spans="2:8" s="42" customFormat="1" ht="12.75" x14ac:dyDescent="0.2">
      <c r="B7" s="60" t="s">
        <v>8</v>
      </c>
      <c r="C7" s="75">
        <f>C8</f>
        <v>42349</v>
      </c>
      <c r="D7" s="75">
        <f t="shared" ref="D7:F7" si="0">D8</f>
        <v>113012.64999999998</v>
      </c>
      <c r="E7" s="75">
        <f t="shared" si="0"/>
        <v>113012.64999999998</v>
      </c>
      <c r="F7" s="75">
        <f t="shared" si="0"/>
        <v>52602.81</v>
      </c>
      <c r="G7" s="43">
        <f>F7/C7*100</f>
        <v>124.21263784268812</v>
      </c>
      <c r="H7" s="43">
        <f>F7/E7*100</f>
        <v>46.54594861725657</v>
      </c>
    </row>
    <row r="8" spans="2:8" s="42" customFormat="1" ht="25.5" x14ac:dyDescent="0.2">
      <c r="B8" s="65" t="s">
        <v>9</v>
      </c>
      <c r="C8" s="75">
        <f>' Račun prihoda i rashoda'!G21</f>
        <v>42349</v>
      </c>
      <c r="D8" s="75">
        <f>' Račun prihoda i rashoda'!H21</f>
        <v>113012.64999999998</v>
      </c>
      <c r="E8" s="75">
        <f>' Račun prihoda i rashoda'!I21</f>
        <v>113012.64999999998</v>
      </c>
      <c r="F8" s="75">
        <f>' Račun prihoda i rashoda'!J21</f>
        <v>52602.81</v>
      </c>
      <c r="G8" s="43">
        <f>F8/C8*100</f>
        <v>124.21263784268812</v>
      </c>
      <c r="H8" s="43">
        <f>F8/E8*100</f>
        <v>46.54594861725657</v>
      </c>
    </row>
    <row r="9" spans="2:8" s="42" customFormat="1" ht="12.75" x14ac:dyDescent="0.2">
      <c r="B9" s="66"/>
      <c r="C9" s="61"/>
      <c r="D9" s="61"/>
      <c r="E9" s="62"/>
      <c r="F9" s="45"/>
      <c r="G9" s="45"/>
      <c r="H9" s="45"/>
    </row>
  </sheetData>
  <mergeCells count="1">
    <mergeCell ref="B2:H2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H9" sqref="H9"/>
    </sheetView>
  </sheetViews>
  <sheetFormatPr defaultRowHeight="15" x14ac:dyDescent="0.25"/>
  <cols>
    <col min="2" max="2" width="3.7109375" customWidth="1"/>
    <col min="3" max="3" width="4.28515625" customWidth="1"/>
    <col min="4" max="4" width="4" customWidth="1"/>
    <col min="5" max="5" width="5.42578125" bestFit="1" customWidth="1"/>
    <col min="6" max="6" width="25.28515625" customWidth="1"/>
    <col min="7" max="7" width="11" customWidth="1"/>
    <col min="8" max="8" width="12.140625" customWidth="1"/>
    <col min="9" max="9" width="11.85546875" customWidth="1"/>
    <col min="10" max="10" width="12.85546875" customWidth="1"/>
    <col min="11" max="11" width="9.7109375" customWidth="1"/>
    <col min="12" max="12" width="10.14062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126" t="s">
        <v>64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12" ht="15.75" customHeight="1" x14ac:dyDescent="0.25">
      <c r="B3" s="126" t="s">
        <v>38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44.25" customHeight="1" x14ac:dyDescent="0.25">
      <c r="B5" s="122" t="s">
        <v>6</v>
      </c>
      <c r="C5" s="123"/>
      <c r="D5" s="123"/>
      <c r="E5" s="123"/>
      <c r="F5" s="124"/>
      <c r="G5" s="50" t="s">
        <v>58</v>
      </c>
      <c r="H5" s="51" t="s">
        <v>116</v>
      </c>
      <c r="I5" s="50" t="s">
        <v>127</v>
      </c>
      <c r="J5" s="50" t="s">
        <v>140</v>
      </c>
      <c r="K5" s="50" t="s">
        <v>18</v>
      </c>
      <c r="L5" s="50" t="s">
        <v>48</v>
      </c>
    </row>
    <row r="6" spans="2:12" x14ac:dyDescent="0.25">
      <c r="B6" s="122">
        <v>1</v>
      </c>
      <c r="C6" s="123"/>
      <c r="D6" s="123"/>
      <c r="E6" s="123"/>
      <c r="F6" s="124"/>
      <c r="G6" s="50">
        <v>2</v>
      </c>
      <c r="H6" s="50">
        <v>3</v>
      </c>
      <c r="I6" s="50">
        <v>4</v>
      </c>
      <c r="J6" s="50">
        <v>5</v>
      </c>
      <c r="K6" s="50" t="s">
        <v>20</v>
      </c>
      <c r="L6" s="50" t="s">
        <v>21</v>
      </c>
    </row>
    <row r="7" spans="2:12" ht="25.5" x14ac:dyDescent="0.25">
      <c r="B7" s="60">
        <v>8</v>
      </c>
      <c r="C7" s="60"/>
      <c r="D7" s="60"/>
      <c r="E7" s="60"/>
      <c r="F7" s="60" t="s">
        <v>10</v>
      </c>
      <c r="G7" s="61"/>
      <c r="H7" s="61"/>
      <c r="I7" s="61"/>
      <c r="J7" s="18"/>
      <c r="K7" s="18"/>
      <c r="L7" s="18"/>
    </row>
    <row r="8" spans="2:12" x14ac:dyDescent="0.25">
      <c r="B8" s="60"/>
      <c r="C8" s="66">
        <v>84</v>
      </c>
      <c r="D8" s="66"/>
      <c r="E8" s="66"/>
      <c r="F8" s="66" t="s">
        <v>15</v>
      </c>
      <c r="G8" s="61"/>
      <c r="H8" s="61"/>
      <c r="I8" s="61"/>
      <c r="J8" s="18"/>
      <c r="K8" s="18"/>
      <c r="L8" s="18"/>
    </row>
    <row r="9" spans="2:12" ht="51" x14ac:dyDescent="0.25">
      <c r="B9" s="57"/>
      <c r="C9" s="57"/>
      <c r="D9" s="57">
        <v>841</v>
      </c>
      <c r="E9" s="57"/>
      <c r="F9" s="67" t="s">
        <v>39</v>
      </c>
      <c r="G9" s="61"/>
      <c r="H9" s="61"/>
      <c r="I9" s="61"/>
      <c r="J9" s="18"/>
      <c r="K9" s="18"/>
      <c r="L9" s="18"/>
    </row>
    <row r="10" spans="2:12" ht="25.5" x14ac:dyDescent="0.25">
      <c r="B10" s="57"/>
      <c r="C10" s="57"/>
      <c r="D10" s="57"/>
      <c r="E10" s="57">
        <v>8413</v>
      </c>
      <c r="F10" s="67" t="s">
        <v>40</v>
      </c>
      <c r="G10" s="61"/>
      <c r="H10" s="61"/>
      <c r="I10" s="61"/>
      <c r="J10" s="18"/>
      <c r="K10" s="18"/>
      <c r="L10" s="18"/>
    </row>
    <row r="11" spans="2:12" x14ac:dyDescent="0.25">
      <c r="B11" s="57"/>
      <c r="C11" s="57"/>
      <c r="D11" s="57"/>
      <c r="E11" s="59" t="s">
        <v>24</v>
      </c>
      <c r="F11" s="68"/>
      <c r="G11" s="61"/>
      <c r="H11" s="61"/>
      <c r="I11" s="61"/>
      <c r="J11" s="18"/>
      <c r="K11" s="18"/>
      <c r="L11" s="18"/>
    </row>
    <row r="12" spans="2:12" ht="25.5" x14ac:dyDescent="0.25">
      <c r="B12" s="69">
        <v>5</v>
      </c>
      <c r="C12" s="69"/>
      <c r="D12" s="69"/>
      <c r="E12" s="69"/>
      <c r="F12" s="70" t="s">
        <v>11</v>
      </c>
      <c r="G12" s="61"/>
      <c r="H12" s="61"/>
      <c r="I12" s="61"/>
      <c r="J12" s="18"/>
      <c r="K12" s="18"/>
      <c r="L12" s="18"/>
    </row>
    <row r="13" spans="2:12" ht="25.5" x14ac:dyDescent="0.25">
      <c r="B13" s="66"/>
      <c r="C13" s="66">
        <v>54</v>
      </c>
      <c r="D13" s="66"/>
      <c r="E13" s="66"/>
      <c r="F13" s="71" t="s">
        <v>16</v>
      </c>
      <c r="G13" s="61"/>
      <c r="H13" s="61"/>
      <c r="I13" s="62"/>
      <c r="J13" s="18"/>
      <c r="K13" s="18"/>
      <c r="L13" s="18"/>
    </row>
    <row r="14" spans="2:12" ht="63.75" x14ac:dyDescent="0.25">
      <c r="B14" s="66"/>
      <c r="C14" s="66"/>
      <c r="D14" s="66">
        <v>541</v>
      </c>
      <c r="E14" s="67"/>
      <c r="F14" s="67" t="s">
        <v>41</v>
      </c>
      <c r="G14" s="61"/>
      <c r="H14" s="61"/>
      <c r="I14" s="62"/>
      <c r="J14" s="18"/>
      <c r="K14" s="18"/>
      <c r="L14" s="18"/>
    </row>
    <row r="15" spans="2:12" ht="38.25" x14ac:dyDescent="0.25">
      <c r="B15" s="66"/>
      <c r="C15" s="66"/>
      <c r="D15" s="66"/>
      <c r="E15" s="67">
        <v>5413</v>
      </c>
      <c r="F15" s="67" t="s">
        <v>42</v>
      </c>
      <c r="G15" s="61"/>
      <c r="H15" s="61"/>
      <c r="I15" s="62"/>
      <c r="J15" s="18"/>
      <c r="K15" s="18"/>
      <c r="L15" s="18"/>
    </row>
    <row r="16" spans="2:12" x14ac:dyDescent="0.25">
      <c r="B16" s="72" t="s">
        <v>17</v>
      </c>
      <c r="C16" s="69"/>
      <c r="D16" s="69"/>
      <c r="E16" s="69"/>
      <c r="F16" s="70" t="s">
        <v>24</v>
      </c>
      <c r="G16" s="61"/>
      <c r="H16" s="61"/>
      <c r="I16" s="61"/>
      <c r="J16" s="18"/>
      <c r="K16" s="18"/>
      <c r="L16" s="1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topLeftCell="A4" workbookViewId="0">
      <selection activeCell="C5" sqref="C5"/>
    </sheetView>
  </sheetViews>
  <sheetFormatPr defaultRowHeight="15" x14ac:dyDescent="0.25"/>
  <cols>
    <col min="2" max="2" width="34.140625" customWidth="1"/>
    <col min="3" max="3" width="13.5703125" customWidth="1"/>
    <col min="4" max="4" width="13.85546875" customWidth="1"/>
    <col min="5" max="5" width="13.7109375" customWidth="1"/>
    <col min="6" max="6" width="13.28515625" customWidth="1"/>
    <col min="7" max="7" width="11.28515625" customWidth="1"/>
    <col min="8" max="8" width="10.2851562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26" t="s">
        <v>43</v>
      </c>
      <c r="C2" s="126"/>
      <c r="D2" s="126"/>
      <c r="E2" s="126"/>
      <c r="F2" s="126"/>
      <c r="G2" s="126"/>
      <c r="H2" s="126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40.5" customHeight="1" x14ac:dyDescent="0.25">
      <c r="B4" s="51" t="s">
        <v>6</v>
      </c>
      <c r="C4" s="51" t="s">
        <v>58</v>
      </c>
      <c r="D4" s="51" t="s">
        <v>115</v>
      </c>
      <c r="E4" s="51" t="s">
        <v>127</v>
      </c>
      <c r="F4" s="51" t="s">
        <v>128</v>
      </c>
      <c r="G4" s="51" t="s">
        <v>18</v>
      </c>
      <c r="H4" s="51" t="s">
        <v>48</v>
      </c>
    </row>
    <row r="5" spans="2:8" x14ac:dyDescent="0.25">
      <c r="B5" s="51">
        <v>1</v>
      </c>
      <c r="C5" s="51">
        <v>2</v>
      </c>
      <c r="D5" s="51">
        <v>3</v>
      </c>
      <c r="E5" s="51">
        <v>4</v>
      </c>
      <c r="F5" s="51">
        <v>5</v>
      </c>
      <c r="G5" s="51" t="s">
        <v>20</v>
      </c>
      <c r="H5" s="51" t="s">
        <v>21</v>
      </c>
    </row>
    <row r="6" spans="2:8" x14ac:dyDescent="0.25">
      <c r="B6" s="60" t="s">
        <v>44</v>
      </c>
      <c r="C6" s="61"/>
      <c r="D6" s="61"/>
      <c r="E6" s="62"/>
      <c r="F6" s="18"/>
      <c r="G6" s="18"/>
      <c r="H6" s="18"/>
    </row>
    <row r="7" spans="2:8" x14ac:dyDescent="0.25">
      <c r="B7" s="60" t="s">
        <v>34</v>
      </c>
      <c r="C7" s="61"/>
      <c r="D7" s="61"/>
      <c r="E7" s="61"/>
      <c r="F7" s="18"/>
      <c r="G7" s="18"/>
      <c r="H7" s="18"/>
    </row>
    <row r="8" spans="2:8" x14ac:dyDescent="0.25">
      <c r="B8" s="63" t="s">
        <v>33</v>
      </c>
      <c r="C8" s="61"/>
      <c r="D8" s="61"/>
      <c r="E8" s="61"/>
      <c r="F8" s="18"/>
      <c r="G8" s="18"/>
      <c r="H8" s="18"/>
    </row>
    <row r="9" spans="2:8" x14ac:dyDescent="0.25">
      <c r="B9" s="64" t="s">
        <v>32</v>
      </c>
      <c r="C9" s="61"/>
      <c r="D9" s="61"/>
      <c r="E9" s="61"/>
      <c r="F9" s="18"/>
      <c r="G9" s="18"/>
      <c r="H9" s="18"/>
    </row>
    <row r="10" spans="2:8" x14ac:dyDescent="0.25">
      <c r="B10" s="64" t="s">
        <v>24</v>
      </c>
      <c r="C10" s="61"/>
      <c r="D10" s="61"/>
      <c r="E10" s="61"/>
      <c r="F10" s="18"/>
      <c r="G10" s="18"/>
      <c r="H10" s="18"/>
    </row>
    <row r="11" spans="2:8" x14ac:dyDescent="0.25">
      <c r="B11" s="60" t="s">
        <v>31</v>
      </c>
      <c r="C11" s="61"/>
      <c r="D11" s="61"/>
      <c r="E11" s="62"/>
      <c r="F11" s="18"/>
      <c r="G11" s="18"/>
      <c r="H11" s="18"/>
    </row>
    <row r="12" spans="2:8" x14ac:dyDescent="0.25">
      <c r="B12" s="65" t="s">
        <v>30</v>
      </c>
      <c r="C12" s="61"/>
      <c r="D12" s="61"/>
      <c r="E12" s="62"/>
      <c r="F12" s="18"/>
      <c r="G12" s="18"/>
      <c r="H12" s="18"/>
    </row>
    <row r="13" spans="2:8" x14ac:dyDescent="0.25">
      <c r="B13" s="60" t="s">
        <v>29</v>
      </c>
      <c r="C13" s="61"/>
      <c r="D13" s="61"/>
      <c r="E13" s="62"/>
      <c r="F13" s="18"/>
      <c r="G13" s="18"/>
      <c r="H13" s="18"/>
    </row>
    <row r="14" spans="2:8" x14ac:dyDescent="0.25">
      <c r="B14" s="65" t="s">
        <v>28</v>
      </c>
      <c r="C14" s="61"/>
      <c r="D14" s="61"/>
      <c r="E14" s="62"/>
      <c r="F14" s="18"/>
      <c r="G14" s="18"/>
      <c r="H14" s="18"/>
    </row>
    <row r="15" spans="2:8" x14ac:dyDescent="0.25">
      <c r="B15" s="66" t="s">
        <v>17</v>
      </c>
      <c r="C15" s="61"/>
      <c r="D15" s="61"/>
      <c r="E15" s="62"/>
      <c r="F15" s="18"/>
      <c r="G15" s="18"/>
      <c r="H15" s="18"/>
    </row>
    <row r="16" spans="2:8" x14ac:dyDescent="0.25">
      <c r="B16" s="19"/>
      <c r="C16" s="4"/>
      <c r="D16" s="4"/>
      <c r="E16" s="5"/>
      <c r="F16" s="18"/>
      <c r="G16" s="18"/>
      <c r="H16" s="18"/>
    </row>
    <row r="17" spans="2:8" ht="15.75" customHeight="1" x14ac:dyDescent="0.25">
      <c r="B17" s="6" t="s">
        <v>45</v>
      </c>
      <c r="C17" s="4"/>
      <c r="D17" s="4"/>
      <c r="E17" s="5"/>
      <c r="F17" s="18"/>
      <c r="G17" s="18"/>
      <c r="H17" s="18"/>
    </row>
    <row r="18" spans="2:8" ht="15.75" customHeight="1" x14ac:dyDescent="0.25">
      <c r="B18" s="6" t="s">
        <v>34</v>
      </c>
      <c r="C18" s="4"/>
      <c r="D18" s="4"/>
      <c r="E18" s="4"/>
      <c r="F18" s="18"/>
      <c r="G18" s="18"/>
      <c r="H18" s="18"/>
    </row>
    <row r="19" spans="2:8" x14ac:dyDescent="0.25">
      <c r="B19" s="21" t="s">
        <v>33</v>
      </c>
      <c r="C19" s="4"/>
      <c r="D19" s="4"/>
      <c r="E19" s="4"/>
      <c r="F19" s="18"/>
      <c r="G19" s="18"/>
      <c r="H19" s="18"/>
    </row>
    <row r="20" spans="2:8" x14ac:dyDescent="0.25">
      <c r="B20" s="20" t="s">
        <v>32</v>
      </c>
      <c r="C20" s="4"/>
      <c r="D20" s="4"/>
      <c r="E20" s="4"/>
      <c r="F20" s="18"/>
      <c r="G20" s="18"/>
      <c r="H20" s="18"/>
    </row>
    <row r="21" spans="2:8" x14ac:dyDescent="0.25">
      <c r="B21" s="20" t="s">
        <v>24</v>
      </c>
      <c r="C21" s="4"/>
      <c r="D21" s="4"/>
      <c r="E21" s="4"/>
      <c r="F21" s="18"/>
      <c r="G21" s="18"/>
      <c r="H21" s="18"/>
    </row>
    <row r="22" spans="2:8" x14ac:dyDescent="0.25">
      <c r="B22" s="6" t="s">
        <v>31</v>
      </c>
      <c r="C22" s="4"/>
      <c r="D22" s="4"/>
      <c r="E22" s="5"/>
      <c r="F22" s="18"/>
      <c r="G22" s="18"/>
      <c r="H22" s="18"/>
    </row>
    <row r="23" spans="2:8" ht="25.5" x14ac:dyDescent="0.25">
      <c r="B23" s="19" t="s">
        <v>30</v>
      </c>
      <c r="C23" s="4"/>
      <c r="D23" s="4"/>
      <c r="E23" s="5"/>
      <c r="F23" s="18"/>
      <c r="G23" s="18"/>
      <c r="H23" s="18"/>
    </row>
    <row r="24" spans="2:8" x14ac:dyDescent="0.25">
      <c r="B24" s="6" t="s">
        <v>29</v>
      </c>
      <c r="C24" s="4"/>
      <c r="D24" s="4"/>
      <c r="E24" s="5"/>
      <c r="F24" s="18"/>
      <c r="G24" s="18"/>
      <c r="H24" s="18"/>
    </row>
    <row r="25" spans="2:8" x14ac:dyDescent="0.25">
      <c r="B25" s="19" t="s">
        <v>28</v>
      </c>
      <c r="C25" s="4"/>
      <c r="D25" s="4"/>
      <c r="E25" s="5"/>
      <c r="F25" s="18"/>
      <c r="G25" s="18"/>
      <c r="H25" s="18"/>
    </row>
    <row r="26" spans="2:8" x14ac:dyDescent="0.25">
      <c r="B26" s="7" t="s">
        <v>17</v>
      </c>
      <c r="C26" s="4"/>
      <c r="D26" s="4"/>
      <c r="E26" s="5"/>
      <c r="F26" s="18"/>
      <c r="G26" s="18"/>
      <c r="H26" s="18"/>
    </row>
  </sheetData>
  <mergeCells count="1">
    <mergeCell ref="B2:H2"/>
  </mergeCells>
  <pageMargins left="0.7" right="0.7" top="0.75" bottom="0.75" header="0.3" footer="0.3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27"/>
  <sheetViews>
    <sheetView topLeftCell="B6" workbookViewId="0">
      <selection activeCell="I14" sqref="I14"/>
    </sheetView>
  </sheetViews>
  <sheetFormatPr defaultRowHeight="15" x14ac:dyDescent="0.25"/>
  <cols>
    <col min="2" max="2" width="10" customWidth="1"/>
    <col min="3" max="3" width="26.5703125" style="38" customWidth="1"/>
    <col min="4" max="4" width="13.7109375" customWidth="1"/>
    <col min="5" max="5" width="13.28515625" customWidth="1"/>
    <col min="6" max="6" width="12.5703125" customWidth="1"/>
    <col min="7" max="7" width="10" customWidth="1"/>
  </cols>
  <sheetData>
    <row r="1" spans="2:7" ht="18" x14ac:dyDescent="0.25">
      <c r="B1" s="2"/>
      <c r="C1" s="2"/>
      <c r="D1" s="2"/>
      <c r="E1" s="2"/>
      <c r="F1" s="2"/>
      <c r="G1" s="3"/>
    </row>
    <row r="2" spans="2:7" ht="18" customHeight="1" x14ac:dyDescent="0.25">
      <c r="B2" s="126" t="s">
        <v>12</v>
      </c>
      <c r="C2" s="127"/>
      <c r="D2" s="127"/>
      <c r="E2" s="127"/>
      <c r="F2" s="127"/>
      <c r="G2" s="127"/>
    </row>
    <row r="3" spans="2:7" ht="18" x14ac:dyDescent="0.25">
      <c r="B3" s="2"/>
      <c r="C3" s="2"/>
      <c r="D3" s="2"/>
      <c r="E3" s="2"/>
      <c r="F3" s="2"/>
      <c r="G3" s="3"/>
    </row>
    <row r="4" spans="2:7" ht="15.75" x14ac:dyDescent="0.25">
      <c r="B4" s="128" t="s">
        <v>66</v>
      </c>
      <c r="C4" s="128"/>
      <c r="D4" s="128"/>
      <c r="E4" s="128"/>
      <c r="F4" s="128"/>
      <c r="G4" s="128"/>
    </row>
    <row r="5" spans="2:7" ht="18" x14ac:dyDescent="0.25">
      <c r="B5" s="2"/>
      <c r="C5" s="2"/>
      <c r="D5" s="2"/>
      <c r="E5" s="2"/>
      <c r="F5" s="2"/>
      <c r="G5" s="3"/>
    </row>
    <row r="6" spans="2:7" ht="25.5" x14ac:dyDescent="0.25">
      <c r="B6" s="122" t="s">
        <v>6</v>
      </c>
      <c r="C6" s="124"/>
      <c r="D6" s="51" t="s">
        <v>116</v>
      </c>
      <c r="E6" s="51" t="s">
        <v>117</v>
      </c>
      <c r="F6" s="51" t="s">
        <v>67</v>
      </c>
      <c r="G6" s="51" t="s">
        <v>48</v>
      </c>
    </row>
    <row r="7" spans="2:7" s="17" customFormat="1" ht="15.75" customHeight="1" x14ac:dyDescent="0.2">
      <c r="B7" s="129">
        <v>1</v>
      </c>
      <c r="C7" s="130"/>
      <c r="D7" s="52">
        <v>2</v>
      </c>
      <c r="E7" s="52">
        <v>3</v>
      </c>
      <c r="F7" s="52">
        <v>4</v>
      </c>
      <c r="G7" s="52" t="s">
        <v>47</v>
      </c>
    </row>
    <row r="8" spans="2:7" s="25" customFormat="1" ht="24" customHeight="1" x14ac:dyDescent="0.25">
      <c r="B8" s="53" t="s">
        <v>104</v>
      </c>
      <c r="C8" s="53" t="s">
        <v>124</v>
      </c>
      <c r="D8" s="54">
        <f>D9+D10</f>
        <v>113012.64999999998</v>
      </c>
      <c r="E8" s="54">
        <f t="shared" ref="E8:F8" si="0">E9+E10</f>
        <v>113012.64999999998</v>
      </c>
      <c r="F8" s="54">
        <f t="shared" si="0"/>
        <v>52602.81</v>
      </c>
      <c r="G8" s="54">
        <f t="shared" ref="G8:G10" si="1">IF(E8&lt;&gt; 0,F8/E8*100,0)</f>
        <v>46.54594861725657</v>
      </c>
    </row>
    <row r="9" spans="2:7" s="25" customFormat="1" ht="24" customHeight="1" x14ac:dyDescent="0.25">
      <c r="B9" s="53">
        <v>52</v>
      </c>
      <c r="C9" s="81" t="s">
        <v>102</v>
      </c>
      <c r="D9" s="54">
        <f>' Račun prihoda i rashoda'!H17</f>
        <v>101792</v>
      </c>
      <c r="E9" s="54">
        <f>' Račun prihoda i rashoda'!I17</f>
        <v>101792</v>
      </c>
      <c r="F9" s="54">
        <f>F12+F17+F23+F25</f>
        <v>52602.81</v>
      </c>
      <c r="G9" s="54">
        <f t="shared" si="1"/>
        <v>51.676762417478784</v>
      </c>
    </row>
    <row r="10" spans="2:7" s="25" customFormat="1" ht="24" customHeight="1" x14ac:dyDescent="0.25">
      <c r="B10" s="53">
        <v>31</v>
      </c>
      <c r="C10" s="81" t="s">
        <v>103</v>
      </c>
      <c r="D10" s="54">
        <f>' Račun prihoda i rashoda'!H12</f>
        <v>11220.64999999998</v>
      </c>
      <c r="E10" s="54">
        <f>' Račun prihoda i rashoda'!I12</f>
        <v>11220.64999999998</v>
      </c>
      <c r="F10" s="54">
        <v>0</v>
      </c>
      <c r="G10" s="54">
        <f t="shared" si="1"/>
        <v>0</v>
      </c>
    </row>
    <row r="11" spans="2:7" s="25" customFormat="1" ht="24" customHeight="1" x14ac:dyDescent="0.25">
      <c r="B11" s="53" t="s">
        <v>100</v>
      </c>
      <c r="C11" s="53" t="s">
        <v>101</v>
      </c>
      <c r="D11" s="54">
        <f>D12+D17+D23+D25</f>
        <v>113012.64999999998</v>
      </c>
      <c r="E11" s="54">
        <f t="shared" ref="E11:F11" si="2">E12+E17+E23+E25</f>
        <v>113012.64999999998</v>
      </c>
      <c r="F11" s="54">
        <f t="shared" si="2"/>
        <v>52602.81</v>
      </c>
      <c r="G11" s="54">
        <f>IF(E11&lt;&gt; 0,F11/E11*100,0)</f>
        <v>46.54594861725657</v>
      </c>
    </row>
    <row r="12" spans="2:7" s="25" customFormat="1" ht="24" customHeight="1" x14ac:dyDescent="0.25">
      <c r="B12" s="53">
        <v>31</v>
      </c>
      <c r="C12" s="81" t="s">
        <v>105</v>
      </c>
      <c r="D12" s="54">
        <f>SUM(D13:D16)</f>
        <v>97685.249999999985</v>
      </c>
      <c r="E12" s="54">
        <f t="shared" ref="E12:F12" si="3">SUM(E13:E16)</f>
        <v>97685.249999999985</v>
      </c>
      <c r="F12" s="54">
        <f t="shared" si="3"/>
        <v>46736.479999999996</v>
      </c>
      <c r="G12" s="54">
        <f>IF(E12&lt;&gt; 0,F12/E12*100,0)</f>
        <v>47.843947781266877</v>
      </c>
    </row>
    <row r="13" spans="2:7" s="25" customFormat="1" ht="24" customHeight="1" x14ac:dyDescent="0.25">
      <c r="B13" s="55">
        <v>311</v>
      </c>
      <c r="C13" s="82" t="s">
        <v>106</v>
      </c>
      <c r="D13" s="56">
        <f>' Račun prihoda i rashoda'!H24</f>
        <v>60285.240000000005</v>
      </c>
      <c r="E13" s="56">
        <f>' Račun prihoda i rashoda'!I24</f>
        <v>60285.240000000005</v>
      </c>
      <c r="F13" s="56">
        <f>' Račun prihoda i rashoda'!J24</f>
        <v>38924.39</v>
      </c>
      <c r="G13" s="54">
        <f t="shared" ref="G13:G27" si="4">IF(E13&lt;&gt; 0,F13/E13*100,0)</f>
        <v>64.567031664798861</v>
      </c>
    </row>
    <row r="14" spans="2:7" s="25" customFormat="1" ht="24" customHeight="1" x14ac:dyDescent="0.25">
      <c r="B14" s="55">
        <v>312</v>
      </c>
      <c r="C14" s="55" t="s">
        <v>107</v>
      </c>
      <c r="D14" s="56">
        <f>' Račun prihoda i rashoda'!H27</f>
        <v>7665.76</v>
      </c>
      <c r="E14" s="56">
        <f>' Račun prihoda i rashoda'!I27</f>
        <v>7665.76</v>
      </c>
      <c r="F14" s="56">
        <f>' Račun prihoda i rashoda'!J27</f>
        <v>1389.49</v>
      </c>
      <c r="G14" s="54">
        <f t="shared" si="4"/>
        <v>18.125926196489324</v>
      </c>
    </row>
    <row r="15" spans="2:7" s="25" customFormat="1" ht="24" customHeight="1" x14ac:dyDescent="0.25">
      <c r="B15" s="55">
        <v>313</v>
      </c>
      <c r="C15" s="67" t="s">
        <v>108</v>
      </c>
      <c r="D15" s="56">
        <f>' Račun prihoda i rashoda'!H29</f>
        <v>26801.519999999997</v>
      </c>
      <c r="E15" s="56">
        <f>' Račun prihoda i rashoda'!I29</f>
        <v>26801.519999999997</v>
      </c>
      <c r="F15" s="56">
        <f>' Račun prihoda i rashoda'!J29</f>
        <v>6422.6</v>
      </c>
      <c r="G15" s="54">
        <f t="shared" si="4"/>
        <v>23.96356624549653</v>
      </c>
    </row>
    <row r="16" spans="2:7" s="25" customFormat="1" ht="24" customHeight="1" x14ac:dyDescent="0.25">
      <c r="B16" s="55">
        <v>317</v>
      </c>
      <c r="C16" s="67" t="s">
        <v>139</v>
      </c>
      <c r="D16" s="56">
        <f>' Račun prihoda i rashoda'!H32</f>
        <v>2932.73</v>
      </c>
      <c r="E16" s="56">
        <f>' Račun prihoda i rashoda'!I32</f>
        <v>2932.73</v>
      </c>
      <c r="F16" s="56"/>
      <c r="G16" s="54"/>
    </row>
    <row r="17" spans="2:7" s="25" customFormat="1" ht="24" customHeight="1" x14ac:dyDescent="0.25">
      <c r="B17" s="53">
        <v>32</v>
      </c>
      <c r="C17" s="83" t="s">
        <v>109</v>
      </c>
      <c r="D17" s="54">
        <f>SUM(D18:D22)</f>
        <v>13527.4</v>
      </c>
      <c r="E17" s="54">
        <f t="shared" ref="E17:F17" si="5">SUM(E18:E22)</f>
        <v>13527.4</v>
      </c>
      <c r="F17" s="54">
        <f t="shared" si="5"/>
        <v>5635.1200000000008</v>
      </c>
      <c r="G17" s="54">
        <f t="shared" si="4"/>
        <v>41.657081183375972</v>
      </c>
    </row>
    <row r="18" spans="2:7" s="25" customFormat="1" ht="24" customHeight="1" x14ac:dyDescent="0.25">
      <c r="B18" s="55">
        <v>321</v>
      </c>
      <c r="C18" s="67" t="s">
        <v>114</v>
      </c>
      <c r="D18" s="56">
        <f>' Račun prihoda i rashoda'!H35</f>
        <v>8400.4</v>
      </c>
      <c r="E18" s="56">
        <f>' Račun prihoda i rashoda'!I35</f>
        <v>8400.4</v>
      </c>
      <c r="F18" s="56">
        <f>' Račun prihoda i rashoda'!J35</f>
        <v>4128.21</v>
      </c>
      <c r="G18" s="54">
        <f t="shared" si="4"/>
        <v>49.143016999190522</v>
      </c>
    </row>
    <row r="19" spans="2:7" s="25" customFormat="1" ht="24" customHeight="1" x14ac:dyDescent="0.25">
      <c r="B19" s="55">
        <v>322</v>
      </c>
      <c r="C19" s="67" t="s">
        <v>111</v>
      </c>
      <c r="D19" s="56">
        <f>' Račun prihoda i rashoda'!H40</f>
        <v>1700</v>
      </c>
      <c r="E19" s="56">
        <f>' Račun prihoda i rashoda'!I40</f>
        <v>1700</v>
      </c>
      <c r="F19" s="56">
        <f>' Račun prihoda i rashoda'!J40</f>
        <v>0</v>
      </c>
      <c r="G19" s="54">
        <f t="shared" si="4"/>
        <v>0</v>
      </c>
    </row>
    <row r="20" spans="2:7" ht="24" customHeight="1" x14ac:dyDescent="0.25">
      <c r="B20" s="55">
        <v>323</v>
      </c>
      <c r="C20" s="67" t="s">
        <v>112</v>
      </c>
      <c r="D20" s="56">
        <f>' Račun prihoda i rashoda'!H44</f>
        <v>3427</v>
      </c>
      <c r="E20" s="56">
        <f>' Račun prihoda i rashoda'!I44</f>
        <v>3427</v>
      </c>
      <c r="F20" s="56">
        <f>' Račun prihoda i rashoda'!J44</f>
        <v>1455.31</v>
      </c>
      <c r="G20" s="54">
        <f t="shared" si="4"/>
        <v>42.466005252407349</v>
      </c>
    </row>
    <row r="21" spans="2:7" ht="24" customHeight="1" x14ac:dyDescent="0.25">
      <c r="B21" s="55">
        <v>329</v>
      </c>
      <c r="C21" s="67" t="s">
        <v>113</v>
      </c>
      <c r="D21" s="56">
        <f>' Račun prihoda i rashoda'!H54</f>
        <v>0</v>
      </c>
      <c r="E21" s="56">
        <f>' Račun prihoda i rashoda'!I54</f>
        <v>0</v>
      </c>
      <c r="F21" s="56">
        <f>' Račun prihoda i rashoda'!J54</f>
        <v>51.6</v>
      </c>
      <c r="G21" s="54">
        <f t="shared" si="4"/>
        <v>0</v>
      </c>
    </row>
    <row r="22" spans="2:7" ht="24" customHeight="1" x14ac:dyDescent="0.25">
      <c r="B22" s="55">
        <v>324</v>
      </c>
      <c r="C22" s="67" t="s">
        <v>110</v>
      </c>
      <c r="D22" s="56">
        <f>' Račun prihoda i rashoda'!H57</f>
        <v>0</v>
      </c>
      <c r="E22" s="56">
        <f>' Račun prihoda i rashoda'!I57</f>
        <v>0</v>
      </c>
      <c r="F22" s="56">
        <f>' Račun prihoda i rashoda'!J57</f>
        <v>0</v>
      </c>
      <c r="G22" s="54">
        <f t="shared" si="4"/>
        <v>0</v>
      </c>
    </row>
    <row r="23" spans="2:7" ht="24" customHeight="1" x14ac:dyDescent="0.25">
      <c r="B23" s="58">
        <v>34</v>
      </c>
      <c r="C23" s="83" t="s">
        <v>89</v>
      </c>
      <c r="D23" s="54">
        <f>SUM(D24:D24)</f>
        <v>600</v>
      </c>
      <c r="E23" s="54">
        <f t="shared" ref="E23:F23" si="6">SUM(E24:E24)</f>
        <v>600</v>
      </c>
      <c r="F23" s="54">
        <f t="shared" si="6"/>
        <v>231.21</v>
      </c>
      <c r="G23" s="54">
        <f t="shared" si="4"/>
        <v>38.535000000000004</v>
      </c>
    </row>
    <row r="24" spans="2:7" ht="24" customHeight="1" x14ac:dyDescent="0.25">
      <c r="B24" s="59">
        <v>343</v>
      </c>
      <c r="C24" s="67" t="s">
        <v>90</v>
      </c>
      <c r="D24" s="56">
        <f>' Račun prihoda i rashoda'!H61</f>
        <v>600</v>
      </c>
      <c r="E24" s="56">
        <f>' Račun prihoda i rashoda'!I60</f>
        <v>600</v>
      </c>
      <c r="F24" s="56">
        <f>' Račun prihoda i rashoda'!J60</f>
        <v>231.21</v>
      </c>
      <c r="G24" s="54">
        <f t="shared" si="4"/>
        <v>38.535000000000004</v>
      </c>
    </row>
    <row r="25" spans="2:7" ht="24" customHeight="1" x14ac:dyDescent="0.25">
      <c r="B25" s="48">
        <v>42</v>
      </c>
      <c r="C25" s="84" t="s">
        <v>91</v>
      </c>
      <c r="D25" s="47">
        <f>SUM(D26:D27)</f>
        <v>1200</v>
      </c>
      <c r="E25" s="47">
        <f t="shared" ref="E25:F25" si="7">SUM(E26:E27)</f>
        <v>1200</v>
      </c>
      <c r="F25" s="47">
        <f t="shared" si="7"/>
        <v>0</v>
      </c>
      <c r="G25" s="54">
        <f t="shared" si="4"/>
        <v>0</v>
      </c>
    </row>
    <row r="26" spans="2:7" ht="24" customHeight="1" x14ac:dyDescent="0.25">
      <c r="B26" s="49">
        <v>422</v>
      </c>
      <c r="C26" s="85" t="s">
        <v>92</v>
      </c>
      <c r="D26" s="46">
        <f>' Račun prihoda i rashoda'!H65</f>
        <v>0</v>
      </c>
      <c r="E26" s="46">
        <f>' Račun prihoda i rashoda'!I65</f>
        <v>0</v>
      </c>
      <c r="F26" s="46">
        <f>' Račun prihoda i rashoda'!J65</f>
        <v>0</v>
      </c>
      <c r="G26" s="54">
        <f t="shared" ref="G26" si="8">IF(E26&lt;&gt; 0,F26/E26*100,0)</f>
        <v>0</v>
      </c>
    </row>
    <row r="27" spans="2:7" ht="24" customHeight="1" x14ac:dyDescent="0.25">
      <c r="B27" s="49">
        <v>426</v>
      </c>
      <c r="C27" s="85" t="s">
        <v>125</v>
      </c>
      <c r="D27" s="46">
        <f>' Račun prihoda i rashoda'!H68</f>
        <v>1200</v>
      </c>
      <c r="E27" s="46">
        <f>' Račun prihoda i rashoda'!I68</f>
        <v>1200</v>
      </c>
      <c r="F27" s="46">
        <f>' Račun prihoda i rashoda'!J68</f>
        <v>0</v>
      </c>
      <c r="G27" s="54">
        <f t="shared" si="4"/>
        <v>0</v>
      </c>
    </row>
  </sheetData>
  <mergeCells count="4">
    <mergeCell ref="B2:G2"/>
    <mergeCell ref="B4:G4"/>
    <mergeCell ref="B6:C6"/>
    <mergeCell ref="B7:C7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Ksenija Huber</cp:lastModifiedBy>
  <cp:lastPrinted>2024-12-11T07:58:33Z</cp:lastPrinted>
  <dcterms:created xsi:type="dcterms:W3CDTF">2022-08-12T12:51:27Z</dcterms:created>
  <dcterms:modified xsi:type="dcterms:W3CDTF">2024-12-11T08:01:44Z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